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codeName="ThisWorkbook"/>
  <mc:AlternateContent xmlns:mc="http://schemas.openxmlformats.org/markup-compatibility/2006">
    <mc:Choice Requires="x15">
      <x15ac:absPath xmlns:x15ac="http://schemas.microsoft.com/office/spreadsheetml/2010/11/ac" url="E:\xp-wiki\docs\"/>
    </mc:Choice>
  </mc:AlternateContent>
  <xr:revisionPtr revIDLastSave="0" documentId="13_ncr:1_{F94683F7-DAFD-41AB-A824-14B04319F1C3}" xr6:coauthVersionLast="47" xr6:coauthVersionMax="47" xr10:uidLastSave="{00000000-0000-0000-0000-000000000000}"/>
  <bookViews>
    <workbookView xWindow="-110" yWindow="-110" windowWidth="25820" windowHeight="13900" tabRatio="875" activeTab="1" xr2:uid="{00000000-000D-0000-FFFF-FFFF00000000}"/>
  </bookViews>
  <sheets>
    <sheet name="图表" sheetId="19" r:id="rId1"/>
    <sheet name="总表" sheetId="1" r:id="rId2"/>
    <sheet name="经历点数与履历" sheetId="18" r:id="rId3"/>
    <sheet name="角色简介与天命" sheetId="2" r:id="rId4"/>
    <sheet name="角色专属技能" sheetId="3" r:id="rId5"/>
    <sheet name="武器" sheetId="4" r:id="rId6"/>
    <sheet name="防具" sheetId="17" r:id="rId7"/>
    <sheet name="各种技能" sheetId="5" r:id="rId8"/>
    <sheet name="被动战技与战术" sheetId="21" r:id="rId9"/>
    <sheet name="特殊战技与姿态战术" sheetId="22" r:id="rId10"/>
    <sheet name="魔法" sheetId="23" r:id="rId11"/>
    <sheet name="社群与职业" sheetId="27" r:id="rId12"/>
    <sheet name="坐骑" sheetId="25" r:id="rId13"/>
  </sheets>
  <definedNames>
    <definedName name="_xlnm._FilterDatabase" localSheetId="1" hidden="1">总表!$A$42:$C$51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1" i="18" l="1"/>
  <c r="D3" i="18"/>
  <c r="D19" i="23"/>
  <c r="AC3" i="27"/>
  <c r="G19" i="25"/>
  <c r="G16" i="25"/>
  <c r="C16" i="25"/>
  <c r="I16" i="25" s="1"/>
  <c r="Q13" i="25"/>
  <c r="M13" i="25"/>
  <c r="S13" i="25" s="1"/>
  <c r="E5" i="25"/>
  <c r="C5" i="25"/>
  <c r="F19" i="25" s="1"/>
  <c r="I19" i="25" s="1"/>
  <c r="F4" i="25"/>
  <c r="H5" i="25" s="1"/>
  <c r="Q28" i="23"/>
  <c r="Q26" i="23"/>
  <c r="Q24" i="23"/>
  <c r="Q22" i="23"/>
  <c r="Q20" i="23"/>
  <c r="C19" i="23"/>
  <c r="Q18" i="23"/>
  <c r="Q16" i="23"/>
  <c r="Q14" i="23"/>
  <c r="B14" i="23"/>
  <c r="C17" i="23" s="1"/>
  <c r="Q12" i="23"/>
  <c r="Q10" i="23"/>
  <c r="B9" i="23"/>
  <c r="D9" i="23" s="1"/>
  <c r="Q8" i="23"/>
  <c r="Q6" i="23"/>
  <c r="B6" i="23"/>
  <c r="D6" i="23" s="1"/>
  <c r="Q4" i="23"/>
  <c r="T26" i="22"/>
  <c r="T24" i="22"/>
  <c r="T22" i="22"/>
  <c r="T20" i="22"/>
  <c r="T18" i="22"/>
  <c r="T16" i="22"/>
  <c r="U34" i="5"/>
  <c r="U33" i="5"/>
  <c r="U32" i="5"/>
  <c r="J32" i="5"/>
  <c r="J31" i="5"/>
  <c r="U30" i="5"/>
  <c r="U29" i="5"/>
  <c r="J29" i="5"/>
  <c r="AF28" i="5"/>
  <c r="U26" i="5"/>
  <c r="J28" i="5"/>
  <c r="AF27" i="5"/>
  <c r="U28" i="5"/>
  <c r="J27" i="5"/>
  <c r="AF26" i="5"/>
  <c r="AF25" i="5"/>
  <c r="U25" i="5"/>
  <c r="J25" i="5"/>
  <c r="AF24" i="5"/>
  <c r="U24" i="5"/>
  <c r="J24" i="5"/>
  <c r="AF23" i="5"/>
  <c r="U23" i="5"/>
  <c r="J23" i="5"/>
  <c r="AF22" i="5"/>
  <c r="U22" i="5"/>
  <c r="J22" i="5"/>
  <c r="AF21" i="5"/>
  <c r="J21" i="5"/>
  <c r="AF20" i="5"/>
  <c r="U20" i="5"/>
  <c r="J20" i="5"/>
  <c r="AF19" i="5"/>
  <c r="U19" i="5"/>
  <c r="AF18" i="5"/>
  <c r="U18" i="5"/>
  <c r="J18" i="5"/>
  <c r="AF17" i="5"/>
  <c r="U17" i="5"/>
  <c r="J17" i="5"/>
  <c r="AF16" i="5"/>
  <c r="U16" i="5"/>
  <c r="J16" i="5"/>
  <c r="AF15" i="5"/>
  <c r="J15" i="5"/>
  <c r="AF14" i="5"/>
  <c r="U14" i="5"/>
  <c r="AF13" i="5"/>
  <c r="U13" i="5"/>
  <c r="J13" i="5"/>
  <c r="AF12" i="5"/>
  <c r="U12" i="5"/>
  <c r="J12" i="5"/>
  <c r="AF11" i="5"/>
  <c r="U11" i="5"/>
  <c r="J11" i="5"/>
  <c r="AF10" i="5"/>
  <c r="J10" i="5"/>
  <c r="AF9" i="5"/>
  <c r="U9" i="5"/>
  <c r="J9" i="5"/>
  <c r="AF8" i="5"/>
  <c r="U8" i="5"/>
  <c r="U7" i="5"/>
  <c r="J7" i="5"/>
  <c r="AF6" i="5"/>
  <c r="U6" i="5"/>
  <c r="J6" i="5"/>
  <c r="AF5" i="5"/>
  <c r="U5" i="5"/>
  <c r="J5" i="5"/>
  <c r="AF4" i="5"/>
  <c r="Q1" i="17"/>
  <c r="A20" i="4"/>
  <c r="A19" i="4"/>
  <c r="I9" i="18"/>
  <c r="C51" i="1"/>
  <c r="B51" i="1"/>
  <c r="A51" i="1"/>
  <c r="C50" i="1"/>
  <c r="B50" i="1"/>
  <c r="A50" i="1"/>
  <c r="C49" i="1"/>
  <c r="B49" i="1"/>
  <c r="A49" i="1"/>
  <c r="C48" i="1"/>
  <c r="B48" i="1"/>
  <c r="A48" i="1"/>
  <c r="C47" i="1"/>
  <c r="B47" i="1"/>
  <c r="A47" i="1"/>
  <c r="C46" i="1"/>
  <c r="B46" i="1"/>
  <c r="A46" i="1"/>
  <c r="C45" i="1"/>
  <c r="B45" i="1"/>
  <c r="A45" i="1"/>
  <c r="C44" i="1"/>
  <c r="B44" i="1"/>
  <c r="A44" i="1"/>
  <c r="C43" i="1"/>
  <c r="B43" i="1"/>
  <c r="A43" i="1"/>
  <c r="C42" i="1"/>
  <c r="B42" i="1"/>
  <c r="A42" i="1"/>
  <c r="B21" i="1" s="1"/>
  <c r="G39" i="1"/>
  <c r="G38" i="1"/>
  <c r="G37" i="1"/>
  <c r="G36" i="1"/>
  <c r="G32" i="1"/>
  <c r="G31" i="1"/>
  <c r="S9" i="1"/>
  <c r="G30" i="1" s="1"/>
  <c r="S6" i="1"/>
  <c r="S3" i="1"/>
  <c r="AH2" i="1"/>
  <c r="AF2" i="1"/>
  <c r="AD2" i="1"/>
  <c r="AB2" i="1"/>
  <c r="U12" i="1" a="1"/>
  <c r="H13" i="1" a="1"/>
  <c r="G17" i="1" a="1"/>
  <c r="H9" i="1" a="1"/>
  <c r="G19" i="1" a="1"/>
  <c r="G20" i="1" a="1"/>
  <c r="H3" i="1" a="1"/>
  <c r="C26" i="1" a="1"/>
  <c r="H7" i="1" a="1"/>
  <c r="G18" i="1" a="1"/>
  <c r="N14" i="1"/>
  <c r="H20" i="1" a="1"/>
  <c r="H22" i="1" a="1"/>
  <c r="G22" i="1" a="1"/>
  <c r="K18" i="1" a="1"/>
  <c r="K22" i="1" a="1"/>
  <c r="K20" i="1" a="1"/>
  <c r="H11" i="1" a="1"/>
  <c r="H17" i="1" a="1"/>
  <c r="K19" i="1" a="1"/>
  <c r="H5" i="1" a="1"/>
  <c r="H19" i="1" a="1"/>
  <c r="H18" i="1" a="1"/>
  <c r="K17" i="1" a="1"/>
  <c r="H20" i="1" l="1"/>
  <c r="H19" i="1"/>
  <c r="G18" i="1"/>
  <c r="G17" i="1"/>
  <c r="H22" i="1"/>
  <c r="K19" i="1"/>
  <c r="H38" i="1" s="1"/>
  <c r="G20" i="1"/>
  <c r="H17" i="1"/>
  <c r="G19" i="1"/>
  <c r="K20" i="1"/>
  <c r="H39" i="1" s="1"/>
  <c r="K18" i="1"/>
  <c r="H37" i="1" s="1"/>
  <c r="K17" i="1"/>
  <c r="H36" i="1" s="1"/>
  <c r="G22" i="1"/>
  <c r="H18" i="1"/>
  <c r="K22" i="1"/>
  <c r="Y7" i="5"/>
  <c r="AC7" i="5" s="1"/>
  <c r="J3" i="18"/>
  <c r="I11" i="18"/>
  <c r="I13" i="18" s="1"/>
  <c r="I15" i="18" s="1"/>
  <c r="I17" i="18" s="1"/>
  <c r="I19" i="18" s="1"/>
  <c r="I21" i="18" s="1"/>
  <c r="I23" i="18" s="1"/>
  <c r="I25" i="18" s="1"/>
  <c r="I27" i="18" s="1"/>
  <c r="I29" i="18" s="1"/>
  <c r="J5" i="18"/>
  <c r="D5" i="18" s="1"/>
  <c r="B18" i="1"/>
  <c r="C36" i="1" s="1"/>
  <c r="H5" i="1"/>
  <c r="K5" i="1" s="1"/>
  <c r="H11" i="1"/>
  <c r="K11" i="1" s="1"/>
  <c r="B30" i="1" s="1"/>
  <c r="C26" i="1"/>
  <c r="H3" i="1"/>
  <c r="K3" i="1" s="1"/>
  <c r="H7" i="1"/>
  <c r="K7" i="1" s="1"/>
  <c r="U12" i="1"/>
  <c r="H13" i="1"/>
  <c r="K13" i="1" s="1"/>
  <c r="H9" i="1"/>
  <c r="K9" i="1" s="1"/>
  <c r="B34" i="1" s="1"/>
  <c r="C13" i="23"/>
  <c r="C14" i="23"/>
  <c r="D14" i="23"/>
  <c r="C9" i="23"/>
  <c r="C6" i="23"/>
  <c r="O3" i="1" a="1"/>
  <c r="S8" i="23"/>
  <c r="Y25" i="5"/>
  <c r="S18" i="23"/>
  <c r="S24" i="23"/>
  <c r="C22" i="5"/>
  <c r="Y26" i="5"/>
  <c r="C21" i="5"/>
  <c r="S28" i="23"/>
  <c r="Y20" i="5"/>
  <c r="S4" i="23"/>
  <c r="Y5" i="5"/>
  <c r="S26" i="23"/>
  <c r="S12" i="23"/>
  <c r="S22" i="23"/>
  <c r="S20" i="23"/>
  <c r="S16" i="23"/>
  <c r="S14" i="23"/>
  <c r="Y13" i="5"/>
  <c r="Y4" i="5"/>
  <c r="Y23" i="5"/>
  <c r="Y9" i="5"/>
  <c r="Y18" i="5"/>
  <c r="Y17" i="5"/>
  <c r="Y11" i="5"/>
  <c r="C12" i="23"/>
  <c r="J5" i="4" a="1"/>
  <c r="C28" i="5"/>
  <c r="C27" i="5"/>
  <c r="Y15" i="5"/>
  <c r="AC2" i="27" a="1"/>
  <c r="Y6" i="5"/>
  <c r="S10" i="23"/>
  <c r="C25" i="5"/>
  <c r="Y24" i="5"/>
  <c r="Y8" i="5"/>
  <c r="C29" i="5"/>
  <c r="U1" i="17" a="1"/>
  <c r="Y22" i="5"/>
  <c r="Y28" i="5"/>
  <c r="Y21" i="5"/>
  <c r="Y14" i="5"/>
  <c r="J12" i="4" a="1"/>
  <c r="Y19" i="5"/>
  <c r="C24" i="5"/>
  <c r="Y27" i="5"/>
  <c r="Y16" i="5"/>
  <c r="S6" i="23"/>
  <c r="Y12" i="5"/>
  <c r="Y10" i="5"/>
  <c r="C23" i="5"/>
  <c r="C20" i="5"/>
  <c r="O3" i="1" l="1"/>
  <c r="AC2" i="27"/>
  <c r="AC27" i="5"/>
  <c r="AC25" i="5"/>
  <c r="G23" i="5"/>
  <c r="AC21" i="5"/>
  <c r="G20" i="5"/>
  <c r="AC15" i="5"/>
  <c r="AC13" i="5"/>
  <c r="AC4" i="5"/>
  <c r="AC28" i="5"/>
  <c r="G24" i="5"/>
  <c r="AC22" i="5"/>
  <c r="G21" i="5"/>
  <c r="AC19" i="5"/>
  <c r="AC16" i="5"/>
  <c r="AC10" i="5"/>
  <c r="AC5" i="5"/>
  <c r="G25" i="5"/>
  <c r="AC23" i="5"/>
  <c r="AC20" i="5"/>
  <c r="AC17" i="5"/>
  <c r="AC14" i="5"/>
  <c r="AC11" i="5"/>
  <c r="AC8" i="5"/>
  <c r="AC6" i="5"/>
  <c r="AC26" i="5"/>
  <c r="AC24" i="5"/>
  <c r="G22" i="5"/>
  <c r="AC18" i="5"/>
  <c r="AC12" i="5"/>
  <c r="AC9" i="5"/>
  <c r="U1" i="17"/>
  <c r="J12" i="4"/>
  <c r="J5" i="4"/>
  <c r="G29" i="5"/>
  <c r="G27" i="5"/>
  <c r="G28" i="5"/>
  <c r="B31" i="1"/>
  <c r="R9" i="1"/>
  <c r="U9" i="1" s="1"/>
  <c r="H30" i="1" s="1"/>
  <c r="B29" i="1"/>
  <c r="O6" i="1"/>
  <c r="U6" i="1" s="1"/>
  <c r="H31" i="1" s="1"/>
  <c r="B32" i="1"/>
  <c r="B33" i="1"/>
  <c r="N28" i="5"/>
  <c r="N14" i="5"/>
  <c r="C5" i="5"/>
  <c r="N18" i="5"/>
  <c r="N29" i="5"/>
  <c r="N32" i="5"/>
  <c r="C11" i="5"/>
  <c r="C3" i="22"/>
  <c r="N11" i="5"/>
  <c r="C18" i="5"/>
  <c r="C20" i="22"/>
  <c r="N19" i="5"/>
  <c r="N26" i="5"/>
  <c r="C10" i="5"/>
  <c r="N24" i="5"/>
  <c r="C22" i="22"/>
  <c r="N20" i="5"/>
  <c r="C15" i="5"/>
  <c r="N22" i="5"/>
  <c r="T17" i="1" a="1"/>
  <c r="N17" i="5"/>
  <c r="C13" i="5"/>
  <c r="AC1" i="27" a="1"/>
  <c r="N8" i="5"/>
  <c r="Q17" i="1" a="1"/>
  <c r="N34" i="5"/>
  <c r="C7" i="5"/>
  <c r="C18" i="22"/>
  <c r="N9" i="5"/>
  <c r="N5" i="5"/>
  <c r="C9" i="5"/>
  <c r="N16" i="5"/>
  <c r="N25" i="5"/>
  <c r="N23" i="5"/>
  <c r="N30" i="5"/>
  <c r="C17" i="5"/>
  <c r="C6" i="5"/>
  <c r="N7" i="5"/>
  <c r="C24" i="22"/>
  <c r="C32" i="5"/>
  <c r="N13" i="5"/>
  <c r="N12" i="5"/>
  <c r="C16" i="22"/>
  <c r="N6" i="5"/>
  <c r="N33" i="5"/>
  <c r="C12" i="5"/>
  <c r="N17" i="1" a="1"/>
  <c r="C31" i="5"/>
  <c r="C26" i="22"/>
  <c r="C3" i="21"/>
  <c r="C16" i="5"/>
  <c r="AC1" i="27" l="1"/>
  <c r="B3" i="27" s="1"/>
  <c r="N17" i="1"/>
  <c r="N20" i="1" s="1"/>
  <c r="N22" i="1" s="1"/>
  <c r="U3" i="1"/>
  <c r="H32" i="1" s="1"/>
  <c r="G32" i="5"/>
  <c r="G31" i="5"/>
  <c r="G17" i="5"/>
  <c r="G18" i="5"/>
  <c r="G15" i="5"/>
  <c r="G16" i="5"/>
  <c r="R24" i="5"/>
  <c r="R18" i="5"/>
  <c r="R7" i="5"/>
  <c r="G6" i="5"/>
  <c r="V26" i="22"/>
  <c r="V18" i="22"/>
  <c r="V16" i="22"/>
  <c r="V22" i="22"/>
  <c r="R34" i="5"/>
  <c r="R28" i="5"/>
  <c r="R25" i="5"/>
  <c r="V20" i="22"/>
  <c r="G7" i="5"/>
  <c r="R33" i="5"/>
  <c r="R30" i="5"/>
  <c r="R26" i="5"/>
  <c r="R22" i="5"/>
  <c r="R19" i="5"/>
  <c r="R5" i="5"/>
  <c r="R32" i="5"/>
  <c r="R29" i="5"/>
  <c r="R23" i="5"/>
  <c r="R17" i="5"/>
  <c r="R11" i="5"/>
  <c r="G5" i="5"/>
  <c r="V24" i="22"/>
  <c r="T17" i="1"/>
  <c r="T20" i="1" s="1"/>
  <c r="T22" i="1" s="1"/>
  <c r="Q17" i="1"/>
  <c r="Q20" i="1" s="1"/>
  <c r="Q22" i="1" s="1"/>
  <c r="R12" i="5"/>
  <c r="G11" i="5"/>
  <c r="R9" i="5"/>
  <c r="R13" i="5"/>
  <c r="G12" i="5"/>
  <c r="G9" i="5"/>
  <c r="R16" i="5"/>
  <c r="G13" i="5"/>
  <c r="G10" i="5"/>
  <c r="R20" i="5"/>
  <c r="R14" i="5"/>
  <c r="R8" i="5"/>
  <c r="R6" i="5"/>
  <c r="C16" i="1"/>
  <c r="T15" i="1"/>
  <c r="N15" i="1"/>
  <c r="C15" i="1"/>
  <c r="Q15" i="1"/>
  <c r="C3" i="27" l="1"/>
  <c r="N23" i="1"/>
  <c r="T23" i="1"/>
  <c r="Q23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MECHREVO</author>
    <author>DRAGOD E</author>
  </authors>
  <commentList>
    <comment ref="O3" authorId="0" shapeId="0" xr:uid="{00000000-0006-0000-0100-000001000000}">
      <text>
        <r>
          <rPr>
            <b/>
            <sz val="9"/>
            <rFont val="宋体"/>
            <family val="3"/>
            <charset val="134"/>
          </rPr>
          <t>MECHREVO:</t>
        </r>
        <r>
          <rPr>
            <sz val="9"/>
            <rFont val="宋体"/>
            <family val="3"/>
            <charset val="134"/>
          </rPr>
          <t xml:space="preserve">
体质+总经历点</t>
        </r>
      </text>
    </comment>
    <comment ref="M13" authorId="0" shapeId="0" xr:uid="{00000000-0006-0000-0100-000002000000}">
      <text>
        <r>
          <rPr>
            <b/>
            <sz val="9"/>
            <rFont val="宋体"/>
            <family val="3"/>
            <charset val="134"/>
          </rPr>
          <t>MECHREVO:</t>
        </r>
        <r>
          <rPr>
            <sz val="9"/>
            <rFont val="宋体"/>
            <family val="3"/>
            <charset val="134"/>
          </rPr>
          <t xml:space="preserve">
职业熟练技能：阈值+18
水下时：检定值-10</t>
        </r>
      </text>
    </comment>
    <comment ref="P13" authorId="0" shapeId="0" xr:uid="{00000000-0006-0000-0100-000003000000}">
      <text>
        <r>
          <rPr>
            <b/>
            <sz val="9"/>
            <rFont val="宋体"/>
            <family val="3"/>
            <charset val="134"/>
          </rPr>
          <t>MECHREVO:</t>
        </r>
        <r>
          <rPr>
            <sz val="9"/>
            <rFont val="宋体"/>
            <family val="3"/>
            <charset val="134"/>
          </rPr>
          <t xml:space="preserve">
职业熟练技能：阈值+18
水下时：检定值-10</t>
        </r>
      </text>
    </comment>
    <comment ref="S13" authorId="0" shapeId="0" xr:uid="{00000000-0006-0000-0100-000004000000}">
      <text>
        <r>
          <rPr>
            <b/>
            <sz val="9"/>
            <rFont val="宋体"/>
            <family val="3"/>
            <charset val="134"/>
          </rPr>
          <t>MECHREVO:</t>
        </r>
        <r>
          <rPr>
            <sz val="9"/>
            <rFont val="宋体"/>
            <family val="3"/>
            <charset val="134"/>
          </rPr>
          <t xml:space="preserve">
水下时：检定值-10</t>
        </r>
      </text>
    </comment>
    <comment ref="B21" authorId="1" shapeId="0" xr:uid="{00000000-0006-0000-0100-000005000000}">
      <text>
        <r>
          <rPr>
            <b/>
            <sz val="9"/>
            <rFont val="宋体"/>
            <family val="3"/>
            <charset val="134"/>
          </rPr>
          <t>此处自由选择合适的字体大小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ken</author>
  </authors>
  <commentList>
    <comment ref="J3" authorId="0" shapeId="0" xr:uid="{8D714DA0-D0EE-4614-92AE-DD4DC0EF663A}">
      <text>
        <r>
          <rPr>
            <b/>
            <sz val="9"/>
            <color indexed="81"/>
            <rFont val="宋体"/>
            <family val="3"/>
            <charset val="134"/>
          </rPr>
          <t>ken:</t>
        </r>
        <r>
          <rPr>
            <sz val="9"/>
            <color indexed="81"/>
            <rFont val="宋体"/>
            <family val="3"/>
            <charset val="134"/>
          </rPr>
          <t xml:space="preserve">
1点：专家职业升到1级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24477</author>
  </authors>
  <commentList>
    <comment ref="W6" authorId="0" shapeId="0" xr:uid="{00000000-0006-0000-0700-000001000000}">
      <text>
        <r>
          <rPr>
            <sz val="9"/>
            <rFont val="宋体"/>
            <family val="3"/>
            <charset val="134"/>
          </rPr>
          <t>若无驯兽则忽略，请勿删除</t>
        </r>
      </text>
    </comment>
    <comment ref="W7" authorId="0" shapeId="0" xr:uid="{00000000-0006-0000-0700-000002000000}">
      <text>
        <r>
          <rPr>
            <sz val="9"/>
            <rFont val="宋体"/>
            <family val="3"/>
            <charset val="134"/>
          </rPr>
          <t xml:space="preserve">若无驯兽则忽略，请勿删除
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MECHREVO</author>
  </authors>
  <commentList>
    <comment ref="C5" authorId="0" shapeId="0" xr:uid="{00000000-0006-0000-0800-000001000000}">
      <text>
        <r>
          <rPr>
            <b/>
            <sz val="9"/>
            <rFont val="宋体"/>
            <family val="3"/>
            <charset val="134"/>
          </rPr>
          <t>MECHREVO:</t>
        </r>
        <r>
          <rPr>
            <sz val="9"/>
            <rFont val="宋体"/>
            <family val="3"/>
            <charset val="134"/>
          </rPr>
          <t xml:space="preserve">
夹击判定条件：
1、在你进攻的时候触发
2、进攻的目标被2名及以上的我方角色近战接触
3、你与任意上述近战接触的我方角色构成的直线穿过你进攻的目标
</t>
        </r>
      </text>
    </comment>
    <comment ref="C7" authorId="0" shapeId="0" xr:uid="{00000000-0006-0000-0800-000002000000}">
      <text>
        <r>
          <rPr>
            <b/>
            <sz val="9"/>
            <rFont val="宋体"/>
            <family val="3"/>
            <charset val="134"/>
          </rPr>
          <t>MECHREVO:</t>
        </r>
        <r>
          <rPr>
            <sz val="9"/>
            <rFont val="宋体"/>
            <family val="3"/>
            <charset val="134"/>
          </rPr>
          <t xml:space="preserve">
冲锋判定条件：
1、你的行动点足够你完成正常情况下的移动+进攻行动，且进行冲锋前你没有移动过
2、你与冲锋的目标地点构成的直线上不存在任何障碍物（包括友军）
3、到达冲锋的目标地点前，你必须已经移动了2格
4、到达冲锋的目标地点后，目标必须在你的武器范围内
</t>
        </r>
      </text>
    </comment>
    <comment ref="D16" authorId="0" shapeId="0" xr:uid="{00000000-0006-0000-0800-000003000000}">
      <text>
        <r>
          <rPr>
            <b/>
            <sz val="9"/>
            <rFont val="宋体"/>
            <family val="3"/>
            <charset val="134"/>
          </rPr>
          <t>MECHREVO:</t>
        </r>
        <r>
          <rPr>
            <sz val="9"/>
            <rFont val="宋体"/>
            <family val="3"/>
            <charset val="134"/>
          </rPr>
          <t xml:space="preserve">
效果1内部附加说明</t>
        </r>
      </text>
    </comment>
    <comment ref="D18" authorId="0" shapeId="0" xr:uid="{00000000-0006-0000-0800-000004000000}">
      <text>
        <r>
          <rPr>
            <b/>
            <sz val="9"/>
            <rFont val="宋体"/>
            <family val="3"/>
            <charset val="134"/>
          </rPr>
          <t>MECHREVO:</t>
        </r>
        <r>
          <rPr>
            <sz val="9"/>
            <rFont val="宋体"/>
            <family val="3"/>
            <charset val="134"/>
          </rPr>
          <t xml:space="preserve">
效果2内部附加说明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MECHREVO</author>
  </authors>
  <commentList>
    <comment ref="D16" authorId="0" shapeId="0" xr:uid="{00000000-0006-0000-0900-000001000000}">
      <text>
        <r>
          <rPr>
            <b/>
            <sz val="9"/>
            <rFont val="宋体"/>
            <family val="3"/>
            <charset val="134"/>
          </rPr>
          <t>MECHREVO:</t>
        </r>
        <r>
          <rPr>
            <sz val="9"/>
            <rFont val="宋体"/>
            <family val="3"/>
            <charset val="134"/>
          </rPr>
          <t xml:space="preserve">
特殊战技1内部附加说明</t>
        </r>
      </text>
    </comment>
    <comment ref="D18" authorId="0" shapeId="0" xr:uid="{00000000-0006-0000-0900-000002000000}">
      <text>
        <r>
          <rPr>
            <b/>
            <sz val="9"/>
            <rFont val="宋体"/>
            <family val="3"/>
            <charset val="134"/>
          </rPr>
          <t>MECHREVO:</t>
        </r>
        <r>
          <rPr>
            <sz val="9"/>
            <rFont val="宋体"/>
            <family val="3"/>
            <charset val="134"/>
          </rPr>
          <t xml:space="preserve">
特殊战技2内部附加说明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DRAGOD E</author>
  </authors>
  <commentList>
    <comment ref="D14" authorId="0" shapeId="0" xr:uid="{00000000-0006-0000-0A00-000001000000}">
      <text>
        <r>
          <rPr>
            <sz val="9"/>
            <rFont val="宋体"/>
            <family val="3"/>
            <charset val="134"/>
          </rPr>
          <t>回归指令  每回合获得额外1点只可用于移动的行动点，非激活状态下，若存在剩余的移动行动点，则尽可能地向指定友方角色移动，可以指定移动路线
逼近指令  每回合获得额外1点只可用于移动的行动点，非激活状态下，若存在剩余的移动行动点，则尽可能地向指定敌方角色移动，可以指定移动路线
借机指令  塑型成体每回合进入子弹时间的机会+1次，允许在非激活状态下也能施展借机，借机时阈值回归正常
蹲伏指令  塑型成体行动轮结束后自动进入（默认原始）蹲伏态势，允许在非激活状态下生效，且应对远程进攻的防守阈值回归正常
反击指令  塑型成体行动轮结束后自动进入（默认原始）反击态势，允许在非激活状态下生效，且反击的阈值回归正常
加密指令  塑型成体在非激活状态下也不会被夺取控制权，且对抗消解术时，对方消解术检定获得一枚惩罚骰
坚守指令  塑型成体行动轮结束后自动进入（默认原始）坚守态势，允许在非激活状态下生效，且防御的阈值回归正常
突袭指令  塑型成体行动轮结束后自动进入（默认原始）强袭态势，允许在非激活状态下生效，且进攻的阈值回归正常
遥控指令  允许施法者在施法范围×2的范围内激活塑型成体
自爆指令  塑型成体被破坏后，对周围2范围内的所有角色造成（施法者投入塑型土/50）点固伤，塑型土损耗率提升至50％，此指令可以由施法者在自己的行动轮内主动触发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<sst xmlns="http://schemas.openxmlformats.org/spreadsheetml/2006/main" count="869" uniqueCount="400">
  <si>
    <t>角色基础信息</t>
  </si>
  <si>
    <t>基本属性</t>
  </si>
  <si>
    <t>体力（HP）</t>
  </si>
  <si>
    <t>基础阈值</t>
  </si>
  <si>
    <t>总阈值变动</t>
  </si>
  <si>
    <t>总奖励骰</t>
  </si>
  <si>
    <t>总鉴定值</t>
  </si>
  <si>
    <t>总伤害倍率奖励</t>
  </si>
  <si>
    <t>最终伤害倍率奖励</t>
  </si>
  <si>
    <t>姓名</t>
  </si>
  <si>
    <t>大河原龙成</t>
  </si>
  <si>
    <t>力量</t>
  </si>
  <si>
    <t>基础值</t>
  </si>
  <si>
    <t>装备加成</t>
  </si>
  <si>
    <t>成长</t>
  </si>
  <si>
    <t>临时加成</t>
  </si>
  <si>
    <t>最终值</t>
  </si>
  <si>
    <t>基础</t>
  </si>
  <si>
    <t>额外</t>
  </si>
  <si>
    <t>总值</t>
  </si>
  <si>
    <t>总调整值</t>
  </si>
  <si>
    <t>种族</t>
  </si>
  <si>
    <t>鲸天狗</t>
  </si>
  <si>
    <t>/</t>
  </si>
  <si>
    <t>输出格式</t>
  </si>
  <si>
    <t>（.rav基础阈值+总阈值变动：总奖励骰&lt;总鉴定值）</t>
  </si>
  <si>
    <t>例：（.rav51+30：2&lt;30）</t>
  </si>
  <si>
    <t>性别</t>
  </si>
  <si>
    <t>男</t>
  </si>
  <si>
    <t>身高</t>
  </si>
  <si>
    <t>184cm</t>
  </si>
  <si>
    <t>敏捷</t>
  </si>
  <si>
    <t>精神力（SP）</t>
  </si>
  <si>
    <t>年龄</t>
  </si>
  <si>
    <t>体重</t>
  </si>
  <si>
    <t>78kg</t>
  </si>
  <si>
    <t>惯用手</t>
  </si>
  <si>
    <t>右手</t>
  </si>
  <si>
    <t>信仰心</t>
  </si>
  <si>
    <t>中等</t>
  </si>
  <si>
    <t>体质</t>
  </si>
  <si>
    <t>信仰</t>
  </si>
  <si>
    <t>大神教</t>
  </si>
  <si>
    <t>行动点（AP）</t>
  </si>
  <si>
    <t>性格</t>
  </si>
  <si>
    <t>较易冲动、自信、直率</t>
  </si>
  <si>
    <t>智力</t>
  </si>
  <si>
    <t>敏捷+额外</t>
  </si>
  <si>
    <t>[PL战斗阈值速查卡ver0.1（手填）]</t>
  </si>
  <si>
    <t>种族特性</t>
  </si>
  <si>
    <t>阈值变动</t>
  </si>
  <si>
    <t>奖励骰</t>
  </si>
  <si>
    <t>鉴定值</t>
  </si>
  <si>
    <t>伤害倍率</t>
  </si>
  <si>
    <t>是否满足条件</t>
  </si>
  <si>
    <t>魅力</t>
  </si>
  <si>
    <t>正常状态</t>
  </si>
  <si>
    <t>√</t>
  </si>
  <si>
    <t>战斗速查</t>
  </si>
  <si>
    <t>战术</t>
  </si>
  <si>
    <t>夹击</t>
  </si>
  <si>
    <t>魔力</t>
  </si>
  <si>
    <t>当前武器</t>
  </si>
  <si>
    <t>近藤镇教</t>
  </si>
  <si>
    <t>武器威力</t>
  </si>
  <si>
    <t>冲锋</t>
  </si>
  <si>
    <t>查询</t>
  </si>
  <si>
    <t>进攻阈值</t>
  </si>
  <si>
    <t>防御阈值</t>
  </si>
  <si>
    <t>闪避阈值</t>
  </si>
  <si>
    <t>侧翼攻袭（背）</t>
  </si>
  <si>
    <t>类别</t>
  </si>
  <si>
    <t>项目</t>
  </si>
  <si>
    <t>最终阈值</t>
  </si>
  <si>
    <t>技能</t>
  </si>
  <si>
    <t>防御</t>
  </si>
  <si>
    <t>闪避</t>
  </si>
  <si>
    <t>侧翼攻袭（侧）</t>
  </si>
  <si>
    <t>泛用技能</t>
  </si>
  <si>
    <t>水性</t>
  </si>
  <si>
    <t>防具部位速查</t>
  </si>
  <si>
    <t>总阈值</t>
  </si>
  <si>
    <t>背靠背</t>
  </si>
  <si>
    <t>武器</t>
  </si>
  <si>
    <t>长柄刀</t>
  </si>
  <si>
    <t>部位</t>
  </si>
  <si>
    <t>护甲</t>
  </si>
  <si>
    <t>减伤</t>
  </si>
  <si>
    <t>当前生命</t>
  </si>
  <si>
    <t>最大额外生命</t>
  </si>
  <si>
    <t>手动修正</t>
  </si>
  <si>
    <t>强袭姿态</t>
  </si>
  <si>
    <t>当前主职</t>
  </si>
  <si>
    <t>头部</t>
  </si>
  <si>
    <t>衰减</t>
  </si>
  <si>
    <t>蹲伏姿态</t>
  </si>
  <si>
    <t>熟练技能</t>
  </si>
  <si>
    <t>左右手</t>
  </si>
  <si>
    <t>坚守姿态</t>
  </si>
  <si>
    <t>躯干</t>
  </si>
  <si>
    <t>衰减次数</t>
  </si>
  <si>
    <t>反击姿态</t>
  </si>
  <si>
    <t>左右脚</t>
  </si>
  <si>
    <t>一般衰减</t>
  </si>
  <si>
    <t>职业特性</t>
  </si>
  <si>
    <t>是否处于坐骑上</t>
  </si>
  <si>
    <t>×</t>
  </si>
  <si>
    <t>特殊衰减</t>
  </si>
  <si>
    <t>坐骑护甲</t>
  </si>
  <si>
    <t>总衰减量</t>
  </si>
  <si>
    <t>当前阈值</t>
  </si>
  <si>
    <t>当前值</t>
  </si>
  <si>
    <t>最大值</t>
  </si>
  <si>
    <t>行动点</t>
  </si>
  <si>
    <t>精神力</t>
  </si>
  <si>
    <t>体力</t>
  </si>
  <si>
    <t>原始</t>
  </si>
  <si>
    <t>初级</t>
  </si>
  <si>
    <t>中级</t>
  </si>
  <si>
    <t>上级</t>
  </si>
  <si>
    <t>经历点</t>
  </si>
  <si>
    <t>履历</t>
  </si>
  <si>
    <t>总经历点</t>
  </si>
  <si>
    <t>天历前386年    诞生
出生于天狗国飞津国大河原城。
天历前26年    360岁
成年，继承家业，加入飞津海卫，成为一名武士</t>
  </si>
  <si>
    <t>基本经历点</t>
  </si>
  <si>
    <t>补偿经历点</t>
  </si>
  <si>
    <t>条目</t>
  </si>
  <si>
    <t>收支</t>
  </si>
  <si>
    <t>结余</t>
  </si>
  <si>
    <t>开卡</t>
  </si>
  <si>
    <t>属性点补偿</t>
  </si>
  <si>
    <t>开局选择武者职业</t>
  </si>
  <si>
    <t>武士职业升到1级</t>
  </si>
  <si>
    <t>角色简介</t>
  </si>
  <si>
    <t>附加设定</t>
  </si>
  <si>
    <t>天命</t>
  </si>
  <si>
    <t>立绘</t>
  </si>
  <si>
    <t xml:space="preserve">出生于天狗国外圈的平凡家族的鲸天狗。
成年之后子承父业，成为了一名武士，守护着天狗国领海的安全。
</t>
  </si>
  <si>
    <t>通用增加方式</t>
  </si>
  <si>
    <t>角色的主动提案拥有合理的解释，且被团队采纳，增加1点天命</t>
  </si>
  <si>
    <t>通用减少方式</t>
  </si>
  <si>
    <t>团队思考时间过长（空窗期超过5min），最后由npc指引行动，团队中所有人扣除1点天命</t>
  </si>
  <si>
    <t>角色专属增加方式</t>
  </si>
  <si>
    <t>自信和率直一直是大河原龙成引以为豪的优点。当龙成遭遇抉择时，他会毫不犹豫地根据第一想法做出选择。若这么做（空窗期不超过5min），龙成的天命+1</t>
  </si>
  <si>
    <t>经典语录</t>
  </si>
  <si>
    <t>角色专属减少方式</t>
  </si>
  <si>
    <t>“今天的大海还是一如既往的平静啊！”</t>
  </si>
  <si>
    <t>年轻气盛的大河原龙成不屑于与肮脏的社会规则同流合污。如果龙成放任，甚至自己做出违反公德的事情的话，龙成的天命-1</t>
  </si>
  <si>
    <t>顽强不屈</t>
  </si>
  <si>
    <t>热血沸腾</t>
  </si>
  <si>
    <t>薙刀世家</t>
  </si>
  <si>
    <t>受致命伤倒地后，进行体质检定时可恰一枚奖励骰</t>
  </si>
  <si>
    <t>使用薙刀作为武器时，可释放对周围若干格数所有敌人发动横扫的AOE技能（大风车），检定时只需投一次即可。</t>
  </si>
  <si>
    <t>武器一览</t>
  </si>
  <si>
    <t>是否有无需切换武器也能享受特殊效果带来的增益</t>
  </si>
  <si>
    <t>主武器</t>
  </si>
  <si>
    <t>等级</t>
  </si>
  <si>
    <t>名称</t>
  </si>
  <si>
    <t>类型</t>
  </si>
  <si>
    <t>若存在“有属性加成”词条</t>
  </si>
  <si>
    <t>挂钩属性</t>
  </si>
  <si>
    <t>力量阈值</t>
  </si>
  <si>
    <t>变体</t>
  </si>
  <si>
    <t>薙刀</t>
  </si>
  <si>
    <t>力量加成</t>
  </si>
  <si>
    <t>敏捷加成</t>
  </si>
  <si>
    <t>体质加成</t>
  </si>
  <si>
    <t>智力加成</t>
  </si>
  <si>
    <t>魅力加成</t>
  </si>
  <si>
    <t>魔力加成</t>
  </si>
  <si>
    <t>攻击范围</t>
  </si>
  <si>
    <t>进攻衰减</t>
  </si>
  <si>
    <t>特殊效果/印痕</t>
  </si>
  <si>
    <t>升级记录
印痕效果</t>
  </si>
  <si>
    <t>注：若自身水平未达到武器要求，则在左侧填写武器完整的属性，在这里填写武器降级后的属性</t>
  </si>
  <si>
    <t>简介</t>
  </si>
  <si>
    <t>御海行者标配薙刀</t>
  </si>
  <si>
    <t>副武器</t>
  </si>
  <si>
    <t>螺旋号</t>
  </si>
  <si>
    <t>长枪</t>
  </si>
  <si>
    <t>直线3</t>
  </si>
  <si>
    <t>有属性加成</t>
  </si>
  <si>
    <t>御海行者标配长枪</t>
  </si>
  <si>
    <t>防具一览</t>
  </si>
  <si>
    <t>平均力量阈值</t>
  </si>
  <si>
    <t>防守衰减</t>
  </si>
  <si>
    <t>护甲值</t>
  </si>
  <si>
    <t>额外生命</t>
  </si>
  <si>
    <t>注：若自身水平未达到防具要求，则在左侧填写防具完整的属性，在这里填写防具降级后的属性</t>
  </si>
  <si>
    <t>斗笠</t>
  </si>
  <si>
    <t>无</t>
  </si>
  <si>
    <t>亲水护臂</t>
  </si>
  <si>
    <t>武士中铠</t>
  </si>
  <si>
    <t>水行靴</t>
  </si>
  <si>
    <t>武器熟练度</t>
  </si>
  <si>
    <t>特殊技艺</t>
  </si>
  <si>
    <t>属性值</t>
  </si>
  <si>
    <t>熟练度</t>
  </si>
  <si>
    <t>职业加成</t>
  </si>
  <si>
    <t>社群加成</t>
  </si>
  <si>
    <t>经验值</t>
  </si>
  <si>
    <t>远程武器</t>
  </si>
  <si>
    <t>天狗语</t>
  </si>
  <si>
    <t>弓</t>
  </si>
  <si>
    <t>飞津方言</t>
  </si>
  <si>
    <t>搬运</t>
  </si>
  <si>
    <t>弩</t>
  </si>
  <si>
    <t>驯兽检定</t>
  </si>
  <si>
    <t>缴械</t>
  </si>
  <si>
    <t>投掷</t>
  </si>
  <si>
    <t>坐骑检定</t>
  </si>
  <si>
    <t>坐骑性能</t>
  </si>
  <si>
    <t>发射器</t>
  </si>
  <si>
    <t>火器</t>
  </si>
  <si>
    <t>妙手</t>
  </si>
  <si>
    <t>短程武器</t>
  </si>
  <si>
    <t>潜行</t>
  </si>
  <si>
    <t>拳套</t>
  </si>
  <si>
    <t>侦查</t>
  </si>
  <si>
    <t>爪</t>
  </si>
  <si>
    <t>感知</t>
  </si>
  <si>
    <t>匕首</t>
  </si>
  <si>
    <t>杖</t>
  </si>
  <si>
    <t>抵抗</t>
  </si>
  <si>
    <t>中程武器</t>
  </si>
  <si>
    <t>攀爬</t>
  </si>
  <si>
    <t>打刀</t>
  </si>
  <si>
    <t>长刀</t>
  </si>
  <si>
    <t>跳跃</t>
  </si>
  <si>
    <t>剑</t>
  </si>
  <si>
    <t>短棍</t>
  </si>
  <si>
    <t>见闻</t>
  </si>
  <si>
    <t>鞭</t>
  </si>
  <si>
    <t>长柄武器</t>
  </si>
  <si>
    <t>心理学</t>
  </si>
  <si>
    <t>灵感</t>
  </si>
  <si>
    <t>学习</t>
  </si>
  <si>
    <t>长戟</t>
  </si>
  <si>
    <t>乔装</t>
  </si>
  <si>
    <t>棍</t>
  </si>
  <si>
    <t>重型武器</t>
  </si>
  <si>
    <t>恐吓</t>
  </si>
  <si>
    <t>巨剑</t>
  </si>
  <si>
    <t>说服</t>
  </si>
  <si>
    <t>镰刀</t>
  </si>
  <si>
    <t>哄骗</t>
  </si>
  <si>
    <t>大锤</t>
  </si>
  <si>
    <t>战斧</t>
  </si>
  <si>
    <t>魔法感知</t>
  </si>
  <si>
    <t>盾类武器</t>
  </si>
  <si>
    <t>魔法抗性</t>
  </si>
  <si>
    <t>轻盾</t>
  </si>
  <si>
    <t>长盾</t>
  </si>
  <si>
    <t>巨盾</t>
  </si>
  <si>
    <t>被动战术</t>
  </si>
  <si>
    <t>战术奖励</t>
  </si>
  <si>
    <t>原始效果</t>
  </si>
  <si>
    <t>初级效果</t>
  </si>
  <si>
    <t>中级效果</t>
  </si>
  <si>
    <t>上级效果</t>
  </si>
  <si>
    <t>符合夹击判定条件时，你进攻的检定阈值附加战术奖励</t>
  </si>
  <si>
    <t>若进攻成功，敌方露出一次破绽，仅对与你构成夹击的友方角色有效</t>
  </si>
  <si>
    <t>夹击状态下，无论你进攻成功与否，都可以让对手露出破绽</t>
  </si>
  <si>
    <t>夹击的队友无需与你构成直线</t>
  </si>
  <si>
    <t>符合冲锋判定条件时，你进攻的检定阈值附加战术奖励</t>
  </si>
  <si>
    <t>效果2</t>
  </si>
  <si>
    <t>你的友军不再阻碍你的冲锋，且你在冲锋过程中可以通过一些检定来越过障碍物</t>
  </si>
  <si>
    <t>你在冲锋过程中移动消耗的行动点减半</t>
  </si>
  <si>
    <t>侧翼攻袭</t>
  </si>
  <si>
    <t>当目标背对你时，你进攻的检定阈值附加战术奖励</t>
  </si>
  <si>
    <t>当目标侧对你时，你进攻的检定阈值附加一半的战术奖励，但不应用战术技能的升级奖励</t>
  </si>
  <si>
    <t>当目标正对/侧对你时，你可以以消耗行动点1.5倍为代价，视为侧对/背对你</t>
  </si>
  <si>
    <t>当目标侧对你时，你进攻的检定阈值附加战术奖励</t>
  </si>
  <si>
    <t>判定范围内有1名队友即可生效，最多叠加2层</t>
  </si>
  <si>
    <t>判定范围扩大1格，最多叠加3层</t>
  </si>
  <si>
    <t>被动战技</t>
  </si>
  <si>
    <t>被动战技（可自定义）</t>
  </si>
  <si>
    <t>消耗SP</t>
  </si>
  <si>
    <t>效果</t>
  </si>
  <si>
    <t>技能1</t>
  </si>
  <si>
    <t>类型1</t>
  </si>
  <si>
    <t>效果1</t>
  </si>
  <si>
    <t>技能2</t>
  </si>
  <si>
    <t>类型2</t>
  </si>
  <si>
    <t>强袭态势</t>
  </si>
  <si>
    <t>蹲伏态势</t>
  </si>
  <si>
    <t>立刻进入潜行状态（若有“遁影”技能则进入隐身状态）</t>
  </si>
  <si>
    <t>坚守态势</t>
  </si>
  <si>
    <t>反击态势</t>
  </si>
  <si>
    <t>特殊战技</t>
  </si>
  <si>
    <t>特战1</t>
  </si>
  <si>
    <t>救助一位受伤的友军，成功则恢复.r1d5点血，失败则恢复1点血</t>
  </si>
  <si>
    <t>特战2</t>
  </si>
  <si>
    <t>对武器范围内所有敌人发动攻击，检定时只需投一次</t>
  </si>
  <si>
    <t>魔法通用效果</t>
  </si>
  <si>
    <t>漩涡/心神/塑形之法</t>
  </si>
  <si>
    <t>仪式之法</t>
  </si>
  <si>
    <t>主修流派</t>
  </si>
  <si>
    <t>若非主修流派，流派经验经验获取效率减半</t>
  </si>
  <si>
    <t>魔法流派</t>
  </si>
  <si>
    <t>所需材料</t>
  </si>
  <si>
    <t>准备时间</t>
  </si>
  <si>
    <t>弱点</t>
  </si>
  <si>
    <t>漩涡之法</t>
  </si>
  <si>
    <t>流派名称</t>
  </si>
  <si>
    <t>流派经验</t>
  </si>
  <si>
    <t>流派等级</t>
  </si>
  <si>
    <t>流派效果</t>
  </si>
  <si>
    <t>心神之法</t>
  </si>
  <si>
    <t>塑型之法</t>
  </si>
  <si>
    <t>过劳过载</t>
  </si>
  <si>
    <t>免费过载</t>
  </si>
  <si>
    <t>塑型土上限（g）</t>
  </si>
  <si>
    <t>当前塑型土（g）</t>
  </si>
  <si>
    <t>仪式材料</t>
  </si>
  <si>
    <t>数量</t>
  </si>
  <si>
    <t>所属社群信息</t>
  </si>
  <si>
    <t>职业</t>
  </si>
  <si>
    <t>所属社群</t>
  </si>
  <si>
    <t>飞津海卫</t>
  </si>
  <si>
    <t>职业名称</t>
  </si>
  <si>
    <t>职业等级</t>
  </si>
  <si>
    <t>总部地址</t>
  </si>
  <si>
    <t>天狗国-飞津-大河原城</t>
  </si>
  <si>
    <t>武者</t>
  </si>
  <si>
    <t>长柄刀、搬运、缴械</t>
  </si>
  <si>
    <t>坐骑</t>
  </si>
  <si>
    <t>坐骑防具</t>
  </si>
  <si>
    <t>矮脚马</t>
  </si>
  <si>
    <t>马</t>
  </si>
  <si>
    <t>性能阈值</t>
  </si>
  <si>
    <t>性能加成</t>
  </si>
  <si>
    <t>机动加成</t>
  </si>
  <si>
    <t>性能</t>
  </si>
  <si>
    <t>战马</t>
  </si>
  <si>
    <t>马具套组</t>
  </si>
  <si>
    <t>机动</t>
  </si>
  <si>
    <t>威力</t>
  </si>
  <si>
    <t>特殊效果</t>
  </si>
  <si>
    <t>升级记录</t>
  </si>
  <si>
    <t>例如：护甲+1（1），减伤+5%，额外生命+3（1）</t>
  </si>
  <si>
    <t>你坐骑的简介</t>
  </si>
  <si>
    <t>例如：性能+5（1），体力+5（1）</t>
  </si>
  <si>
    <t>坐骑防具额外生命值</t>
  </si>
  <si>
    <t>坐骑体力（HP）</t>
  </si>
  <si>
    <t>骑乘状态行动点（AP）</t>
  </si>
  <si>
    <t>骑乘者基础行动点</t>
  </si>
  <si>
    <t>坐骑行动点</t>
  </si>
  <si>
    <t>范围1格内有2名队友时，你防御的检定阈值附加战术奖励，最多叠加1层（不可叠加）</t>
    <phoneticPr fontId="47" type="noConversion"/>
  </si>
  <si>
    <t>魔法抗性检定和抵抗检定也可适用本战术，但不应用战术技能的升级奖励</t>
    <phoneticPr fontId="47" type="noConversion"/>
  </si>
  <si>
    <t>你对抗直射时闪避阈值不再减半，对抗火器时的防御阈值也不再减半</t>
    <phoneticPr fontId="47" type="noConversion"/>
  </si>
  <si>
    <t>效果</t>
    <phoneticPr fontId="47" type="noConversion"/>
  </si>
  <si>
    <t>500文</t>
    <phoneticPr fontId="47" type="noConversion"/>
  </si>
  <si>
    <t>武者职业升到4级</t>
    <phoneticPr fontId="47" type="noConversion"/>
  </si>
  <si>
    <t>武士</t>
  </si>
  <si>
    <t>武士</t>
    <phoneticPr fontId="47" type="noConversion"/>
  </si>
  <si>
    <t>长柄刀、搬运、抵抗、攀爬</t>
    <phoneticPr fontId="47" type="noConversion"/>
  </si>
  <si>
    <t>继承武者的职业特性；自带“卧薪尝胆”技能，且此技能对所有武器都生效。</t>
    <phoneticPr fontId="47" type="noConversion"/>
  </si>
  <si>
    <t>基础资金</t>
    <phoneticPr fontId="47" type="noConversion"/>
  </si>
  <si>
    <t>社群等级</t>
    <phoneticPr fontId="47" type="noConversion"/>
  </si>
  <si>
    <t>消费水平</t>
    <phoneticPr fontId="47" type="noConversion"/>
  </si>
  <si>
    <t>1、允许在水下活动无惩罚，“水性”检定初始30级
2、每当经历点达到0/10/20时，习得一个开拓大神旗下的初级/中级/上级阴阳术
开拓大神旗下的阴阳术消耗素材减半
初始自带开拓大神旗下阴阳术的素材各2个</t>
    <phoneticPr fontId="47" type="noConversion"/>
  </si>
  <si>
    <t>亲手干掉一名敌人之后，本行动轮和下行动轮内全身护甲值+1，伤害+2</t>
    <phoneticPr fontId="47" type="noConversion"/>
  </si>
  <si>
    <t>若攻击处于长距离武器惩罚范围内的敌人，可用武器威力减半代替进攻阈值减半
可以套上刀鞘，将造成伤害的一半转化为sp伤害，可花费1行动点切换</t>
    <phoneticPr fontId="47" type="noConversion"/>
  </si>
  <si>
    <t>进行冲锋前你可以进行移动
一行动轮中，你每多进行一次冲锋，冲锋前就要多花费1行动点进行蓄势</t>
    <phoneticPr fontId="47" type="noConversion"/>
  </si>
  <si>
    <t>投入3点行动点，下行动轮你的第一次能够造成伤害的攻击阈值附加战术奖励</t>
  </si>
  <si>
    <t>下行动轮你的第一次能够造成伤害的攻击伤害变为1.5倍</t>
  </si>
  <si>
    <t>下行动轮你的进攻阈值衰减速度减半</t>
  </si>
  <si>
    <t>下行动轮你无视一切增加移动消耗的效果</t>
  </si>
  <si>
    <t>投入3点行动点，到下行动轮你的行动开始为止，你对抗远程攻击附加战术奖励</t>
  </si>
  <si>
    <t>你可以花费1行动点蹲下（并非蹲伏姿态），来获得将半掩体视为全掩体的效果，不结束行动轮，但无法移动，可以再花费1行动点起身</t>
  </si>
  <si>
    <t>投入3点行动点，到下行动轮你的行动开始为止，你的防御检定附加战术奖励</t>
  </si>
  <si>
    <t>到下行动轮你的行动开始为止，你的防守阈值衰减速度减半</t>
  </si>
  <si>
    <t>到下行动轮你的行动开始为止，你无法被位移，获得一次抵消昏迷/致命伤/致伤的机会</t>
  </si>
  <si>
    <t>到下行动轮你的行动开始为止，你的反击机会提到对方进攻之前</t>
  </si>
  <si>
    <t>到下行动轮你的行动开始为止，你的反击不算阈值衰减</t>
  </si>
  <si>
    <t>到下行动轮你的行动开始为止，只要对方攻击失败，你就能立刻多反击一次</t>
  </si>
  <si>
    <t>每行动轮多2次进入子弹时间的机会；每行动轮获得额外2点只可用于敌意行动的行动点。</t>
    <phoneticPr fontId="47" type="noConversion"/>
  </si>
  <si>
    <t>到下行动轮你的行动开始为止，你可以代替你周围4格内的友方角色进行防御检定以及承伤</t>
    <phoneticPr fontId="47" type="noConversion"/>
  </si>
  <si>
    <t xml:space="preserve">  投入3点行动点，到下行动轮你的行动开始为止，受到对方攻击后，立刻获得一次免行动点的攻击机会（算衰减），且本次进攻阈值附加战术奖励，每行动轮一次</t>
    <phoneticPr fontId="47" type="noConversion"/>
  </si>
  <si>
    <t>职业星级</t>
    <phoneticPr fontId="47" type="noConversion"/>
  </si>
  <si>
    <t>社群加成</t>
    <phoneticPr fontId="47" type="noConversion"/>
  </si>
  <si>
    <t>额外副职点</t>
    <phoneticPr fontId="47" type="noConversion"/>
  </si>
  <si>
    <t>专家</t>
    <phoneticPr fontId="47" type="noConversion"/>
  </si>
  <si>
    <t>锻造</t>
    <phoneticPr fontId="47" type="noConversion"/>
  </si>
  <si>
    <t>护甲类型</t>
    <phoneticPr fontId="47" type="noConversion"/>
  </si>
  <si>
    <t>中甲</t>
    <phoneticPr fontId="47" type="noConversion"/>
  </si>
  <si>
    <t>头部</t>
    <phoneticPr fontId="47" type="noConversion"/>
  </si>
  <si>
    <t>左右手</t>
    <phoneticPr fontId="47" type="noConversion"/>
  </si>
  <si>
    <t>躯干</t>
    <phoneticPr fontId="47" type="noConversion"/>
  </si>
  <si>
    <t>左右脚</t>
    <phoneticPr fontId="47" type="noConversion"/>
  </si>
  <si>
    <t>长休行动</t>
    <phoneticPr fontId="47" type="noConversion"/>
  </si>
  <si>
    <t>名称</t>
    <phoneticPr fontId="47" type="noConversion"/>
  </si>
  <si>
    <t>消耗长休点</t>
    <phoneticPr fontId="47" type="noConversion"/>
  </si>
  <si>
    <t>精致休整</t>
    <phoneticPr fontId="47" type="noConversion"/>
  </si>
  <si>
    <t>能力训练</t>
    <phoneticPr fontId="47" type="noConversion"/>
  </si>
  <si>
    <t>技能训练</t>
    <phoneticPr fontId="47" type="noConversion"/>
  </si>
  <si>
    <t>到下一次长休之前获得精力充沛的效果，所有检定获得-5奖励，最多持续一天</t>
    <phoneticPr fontId="47" type="noConversion"/>
  </si>
  <si>
    <t>获得一次除魅力以外的任意属性的永久成长机会，但无法超过50</t>
    <phoneticPr fontId="47" type="noConversion"/>
  </si>
  <si>
    <t>进行1次没有效果，只长经验的任意技能检定</t>
    <phoneticPr fontId="4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</si>
</sst>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0_ "/>
    <numFmt numFmtId="177" formatCode="0_ "/>
  </numFmts>
  <fonts count="56" x14ac:knownFonts="1">
    <font>
      <sz val="11"/>
      <color theme="1"/>
      <name val="等线"/>
      <charset val="134"/>
      <scheme val="minor"/>
    </font>
    <font>
      <sz val="24"/>
      <color theme="1"/>
      <name val="方正准圆_GBK"/>
      <charset val="134"/>
    </font>
    <font>
      <sz val="11"/>
      <color theme="1"/>
      <name val="方正准圆_GBK"/>
      <charset val="134"/>
    </font>
    <font>
      <b/>
      <sz val="12"/>
      <color theme="0"/>
      <name val="方正准圆_GBK"/>
      <charset val="134"/>
    </font>
    <font>
      <b/>
      <sz val="12"/>
      <color theme="1"/>
      <name val="方正准圆_GBK"/>
      <charset val="134"/>
    </font>
    <font>
      <b/>
      <sz val="12"/>
      <color theme="1"/>
      <name val="微软雅黑"/>
      <family val="2"/>
      <charset val="134"/>
    </font>
    <font>
      <b/>
      <sz val="15"/>
      <color theme="3"/>
      <name val="方正准圆_GBK"/>
      <charset val="134"/>
    </font>
    <font>
      <b/>
      <sz val="11"/>
      <color theme="3"/>
      <name val="方正准圆_GBK"/>
      <charset val="134"/>
    </font>
    <font>
      <b/>
      <sz val="12"/>
      <color theme="1"/>
      <name val="等线"/>
      <family val="3"/>
      <charset val="134"/>
      <scheme val="minor"/>
    </font>
    <font>
      <sz val="18"/>
      <color theme="1"/>
      <name val="方正准圆_GBK"/>
      <charset val="134"/>
    </font>
    <font>
      <sz val="11"/>
      <color theme="1"/>
      <name val="宋体"/>
      <family val="3"/>
      <charset val="134"/>
    </font>
    <font>
      <b/>
      <sz val="10"/>
      <color theme="1"/>
      <name val="等线"/>
      <family val="3"/>
      <charset val="134"/>
      <scheme val="minor"/>
    </font>
    <font>
      <sz val="9"/>
      <color theme="1"/>
      <name val="等线"/>
      <family val="3"/>
      <charset val="134"/>
      <scheme val="minor"/>
    </font>
    <font>
      <sz val="12"/>
      <color theme="1"/>
      <name val="方正准圆_GBK"/>
      <charset val="134"/>
    </font>
    <font>
      <sz val="22"/>
      <color theme="1"/>
      <name val="方正准圆_GBK"/>
      <charset val="134"/>
    </font>
    <font>
      <sz val="15"/>
      <color theme="1"/>
      <name val="方正准圆_GBK"/>
      <charset val="134"/>
    </font>
    <font>
      <sz val="28"/>
      <color theme="1"/>
      <name val="方正准圆_GBK"/>
      <charset val="134"/>
    </font>
    <font>
      <b/>
      <sz val="28"/>
      <color theme="1"/>
      <name val="方正准圆_GBK"/>
      <charset val="134"/>
    </font>
    <font>
      <b/>
      <sz val="11"/>
      <color theme="1"/>
      <name val="等线"/>
      <family val="3"/>
      <charset val="134"/>
      <scheme val="minor"/>
    </font>
    <font>
      <sz val="20"/>
      <color theme="1"/>
      <name val="方正准圆_GBK"/>
      <charset val="134"/>
    </font>
    <font>
      <b/>
      <sz val="20"/>
      <color theme="3"/>
      <name val="方正准圆_GBK"/>
      <charset val="134"/>
    </font>
    <font>
      <b/>
      <sz val="20"/>
      <color theme="1"/>
      <name val="方正准圆_GBK"/>
      <charset val="134"/>
    </font>
    <font>
      <b/>
      <sz val="15"/>
      <color theme="3"/>
      <name val="等线"/>
      <family val="3"/>
      <charset val="134"/>
      <scheme val="minor"/>
    </font>
    <font>
      <sz val="16"/>
      <color rgb="FFFF0000"/>
      <name val="方正准圆_GBK"/>
      <charset val="134"/>
    </font>
    <font>
      <sz val="16"/>
      <color rgb="FF92D050"/>
      <name val="方正准圆_GBK"/>
      <charset val="134"/>
    </font>
    <font>
      <sz val="16"/>
      <color rgb="FFFFC000"/>
      <name val="方正准圆_GBK"/>
      <charset val="134"/>
    </font>
    <font>
      <sz val="16"/>
      <color rgb="FF0070C0"/>
      <name val="方正准圆_GBK"/>
      <charset val="134"/>
    </font>
    <font>
      <b/>
      <sz val="12"/>
      <color theme="3"/>
      <name val="方正准圆_GBK"/>
      <charset val="134"/>
    </font>
    <font>
      <sz val="16"/>
      <color rgb="FFFF66FF"/>
      <name val="方正准圆_GBK"/>
      <charset val="134"/>
    </font>
    <font>
      <sz val="16"/>
      <color rgb="FF7030A0"/>
      <name val="方正准圆_GBK"/>
      <charset val="134"/>
    </font>
    <font>
      <sz val="11"/>
      <color theme="1"/>
      <name val="经典粗圆简"/>
      <family val="3"/>
      <charset val="134"/>
    </font>
    <font>
      <b/>
      <sz val="15"/>
      <name val="等线"/>
      <family val="3"/>
      <charset val="134"/>
      <scheme val="minor"/>
    </font>
    <font>
      <b/>
      <sz val="12"/>
      <name val="等线"/>
      <family val="3"/>
      <charset val="134"/>
      <scheme val="minor"/>
    </font>
    <font>
      <b/>
      <sz val="14"/>
      <name val="等线"/>
      <family val="3"/>
      <charset val="134"/>
      <scheme val="minor"/>
    </font>
    <font>
      <sz val="14"/>
      <color theme="1"/>
      <name val="方正准圆_GBK"/>
      <charset val="134"/>
    </font>
    <font>
      <sz val="11"/>
      <name val="等线"/>
      <family val="3"/>
      <charset val="134"/>
      <scheme val="minor"/>
    </font>
    <font>
      <b/>
      <sz val="14"/>
      <color theme="3"/>
      <name val="方正准圆_GBK"/>
      <charset val="134"/>
    </font>
    <font>
      <b/>
      <sz val="11"/>
      <name val="等线"/>
      <family val="3"/>
      <charset val="134"/>
      <scheme val="minor"/>
    </font>
    <font>
      <b/>
      <sz val="10"/>
      <color theme="3"/>
      <name val="方正准圆_GBK"/>
      <charset val="134"/>
    </font>
    <font>
      <sz val="24"/>
      <color theme="1"/>
      <name val="经典粗圆简"/>
      <family val="3"/>
      <charset val="134"/>
    </font>
    <font>
      <sz val="11"/>
      <color theme="1"/>
      <name val="等线"/>
      <family val="3"/>
      <charset val="134"/>
      <scheme val="minor"/>
    </font>
    <font>
      <sz val="11"/>
      <color indexed="20"/>
      <name val="等线"/>
      <family val="3"/>
      <charset val="134"/>
    </font>
    <font>
      <sz val="11"/>
      <color rgb="FF9C0006"/>
      <name val="等线"/>
      <family val="3"/>
      <charset val="134"/>
      <scheme val="minor"/>
    </font>
    <font>
      <sz val="11"/>
      <color indexed="17"/>
      <name val="等线"/>
      <family val="3"/>
      <charset val="134"/>
    </font>
    <font>
      <sz val="11"/>
      <color rgb="FF006100"/>
      <name val="等线"/>
      <family val="3"/>
      <charset val="134"/>
      <scheme val="minor"/>
    </font>
    <font>
      <b/>
      <sz val="9"/>
      <name val="宋体"/>
      <family val="3"/>
      <charset val="134"/>
    </font>
    <font>
      <sz val="9"/>
      <name val="宋体"/>
      <family val="3"/>
      <charset val="134"/>
    </font>
    <font>
      <sz val="9"/>
      <name val="等线"/>
      <family val="3"/>
      <charset val="134"/>
      <scheme val="minor"/>
    </font>
    <font>
      <sz val="11"/>
      <color theme="1"/>
      <name val="等线"/>
      <family val="3"/>
      <charset val="134"/>
      <scheme val="minor"/>
    </font>
    <font>
      <b/>
      <sz val="20"/>
      <color theme="1"/>
      <name val="方正准圆_GBK"/>
      <family val="4"/>
      <charset val="134"/>
    </font>
    <font>
      <sz val="9"/>
      <color indexed="81"/>
      <name val="宋体"/>
      <family val="3"/>
      <charset val="134"/>
    </font>
    <font>
      <b/>
      <sz val="9"/>
      <color indexed="81"/>
      <name val="宋体"/>
      <family val="3"/>
      <charset val="134"/>
    </font>
    <font>
      <sz val="11"/>
      <color theme="1"/>
      <name val="方正准圆_GBK"/>
      <family val="4"/>
      <charset val="134"/>
    </font>
    <font>
      <sz val="12"/>
      <color theme="1"/>
      <name val="方正准圆_GBK"/>
      <family val="4"/>
      <charset val="134"/>
    </font>
    <font>
      <b/>
      <sz val="15"/>
      <color theme="3"/>
      <name val="方正准圆_GBK"/>
      <family val="4"/>
      <charset val="134"/>
    </font>
    <font>
      <b/>
      <sz val="11"/>
      <color theme="3"/>
      <name val="方正准圆_GBK"/>
      <family val="4"/>
      <charset val="134"/>
    </font>
  </fonts>
  <fills count="10">
    <fill>
      <patternFill patternType="none"/>
    </fill>
    <fill>
      <patternFill patternType="gray125"/>
    </fill>
    <fill>
      <gradientFill>
        <stop position="0">
          <color rgb="FFFF0000"/>
        </stop>
        <stop position="1">
          <color theme="0"/>
        </stop>
      </gradientFill>
    </fill>
    <fill>
      <gradientFill>
        <stop position="0">
          <color rgb="FF00B050"/>
        </stop>
        <stop position="1">
          <color theme="0"/>
        </stop>
      </gradientFill>
    </fill>
    <fill>
      <gradientFill>
        <stop position="0">
          <color rgb="FF0070C0"/>
        </stop>
        <stop position="1">
          <color theme="0"/>
        </stop>
      </gradientFill>
    </fill>
    <fill>
      <patternFill patternType="solid">
        <fgColor theme="9" tint="0.59999389629810485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C6EFCE"/>
        <bgColor indexed="64"/>
      </patternFill>
    </fill>
  </fills>
  <borders count="52">
    <border>
      <left/>
      <right/>
      <top/>
      <bottom/>
      <diagonal/>
    </border>
    <border>
      <left style="double">
        <color theme="4"/>
      </left>
      <right/>
      <top style="double">
        <color theme="4"/>
      </top>
      <bottom/>
      <diagonal/>
    </border>
    <border>
      <left/>
      <right/>
      <top style="double">
        <color theme="4"/>
      </top>
      <bottom/>
      <diagonal/>
    </border>
    <border>
      <left style="double">
        <color theme="4"/>
      </left>
      <right/>
      <top/>
      <bottom style="double">
        <color theme="4"/>
      </bottom>
      <diagonal/>
    </border>
    <border>
      <left/>
      <right/>
      <top/>
      <bottom style="double">
        <color theme="4"/>
      </bottom>
      <diagonal/>
    </border>
    <border>
      <left style="double">
        <color theme="4"/>
      </left>
      <right style="double">
        <color theme="4"/>
      </right>
      <top style="double">
        <color theme="4"/>
      </top>
      <bottom style="double">
        <color theme="4"/>
      </bottom>
      <diagonal/>
    </border>
    <border>
      <left style="double">
        <color theme="4"/>
      </left>
      <right style="double">
        <color theme="4"/>
      </right>
      <top style="double">
        <color theme="4"/>
      </top>
      <bottom/>
      <diagonal/>
    </border>
    <border>
      <left style="double">
        <color theme="4"/>
      </left>
      <right style="double">
        <color theme="4"/>
      </right>
      <top/>
      <bottom/>
      <diagonal/>
    </border>
    <border>
      <left style="double">
        <color theme="4"/>
      </left>
      <right/>
      <top/>
      <bottom/>
      <diagonal/>
    </border>
    <border>
      <left style="double">
        <color theme="4"/>
      </left>
      <right style="double">
        <color theme="4"/>
      </right>
      <top/>
      <bottom style="double">
        <color theme="4"/>
      </bottom>
      <diagonal/>
    </border>
    <border>
      <left/>
      <right/>
      <top style="thick">
        <color rgb="FF0070C0"/>
      </top>
      <bottom style="thick">
        <color rgb="FF0070C0"/>
      </bottom>
      <diagonal/>
    </border>
    <border>
      <left/>
      <right style="double">
        <color theme="4"/>
      </right>
      <top style="double">
        <color theme="4"/>
      </top>
      <bottom/>
      <diagonal/>
    </border>
    <border>
      <left/>
      <right style="double">
        <color theme="4"/>
      </right>
      <top/>
      <bottom style="double">
        <color theme="4"/>
      </bottom>
      <diagonal/>
    </border>
    <border>
      <left style="double">
        <color theme="4"/>
      </left>
      <right/>
      <top style="double">
        <color theme="4"/>
      </top>
      <bottom style="double">
        <color theme="4"/>
      </bottom>
      <diagonal/>
    </border>
    <border>
      <left/>
      <right style="double">
        <color theme="4"/>
      </right>
      <top style="double">
        <color theme="4"/>
      </top>
      <bottom style="double">
        <color theme="4"/>
      </bottom>
      <diagonal/>
    </border>
    <border>
      <left/>
      <right style="double">
        <color theme="4"/>
      </right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8"/>
      </bottom>
      <diagonal/>
    </border>
    <border>
      <left/>
      <right/>
      <top style="thick">
        <color theme="8"/>
      </top>
      <bottom style="thick">
        <color theme="8"/>
      </bottom>
      <diagonal/>
    </border>
    <border>
      <left/>
      <right/>
      <top style="thick">
        <color theme="8"/>
      </top>
      <bottom/>
      <diagonal/>
    </border>
    <border>
      <left/>
      <right/>
      <top style="thick">
        <color theme="4"/>
      </top>
      <bottom/>
      <diagonal/>
    </border>
    <border>
      <left/>
      <right/>
      <top style="double">
        <color theme="4"/>
      </top>
      <bottom style="double">
        <color theme="4"/>
      </bottom>
      <diagonal/>
    </border>
    <border>
      <left style="slantDashDot">
        <color rgb="FFFF0000"/>
      </left>
      <right style="slantDashDot">
        <color rgb="FFFF0000"/>
      </right>
      <top style="slantDashDot">
        <color rgb="FFFF0000"/>
      </top>
      <bottom style="slantDashDot">
        <color rgb="FFFF0000"/>
      </bottom>
      <diagonal/>
    </border>
    <border>
      <left style="slantDashDot">
        <color rgb="FFFF0000"/>
      </left>
      <right style="slantDashDot">
        <color rgb="FFFF0000"/>
      </right>
      <top style="slantDashDot">
        <color rgb="FFFF0000"/>
      </top>
      <bottom style="slantDashDot">
        <color rgb="FF92D050"/>
      </bottom>
      <diagonal/>
    </border>
    <border>
      <left style="slantDashDot">
        <color rgb="FF92D050"/>
      </left>
      <right style="slantDashDot">
        <color rgb="FF92D050"/>
      </right>
      <top style="slantDashDot">
        <color rgb="FF92D050"/>
      </top>
      <bottom style="slantDashDot">
        <color rgb="FF92D050"/>
      </bottom>
      <diagonal/>
    </border>
    <border>
      <left style="slantDashDot">
        <color rgb="FF92D050"/>
      </left>
      <right style="slantDashDot">
        <color rgb="FF92D050"/>
      </right>
      <top style="slantDashDot">
        <color rgb="FF92D050"/>
      </top>
      <bottom/>
      <diagonal/>
    </border>
    <border>
      <left style="slantDashDot">
        <color rgb="FFFFC000"/>
      </left>
      <right style="slantDashDot">
        <color rgb="FFFFC000"/>
      </right>
      <top style="slantDashDot">
        <color rgb="FFFFC000"/>
      </top>
      <bottom style="slantDashDot">
        <color rgb="FFFFC000"/>
      </bottom>
      <diagonal/>
    </border>
    <border>
      <left style="slantDashDot">
        <color rgb="FFFFC000"/>
      </left>
      <right style="slantDashDot">
        <color rgb="FFFFC000"/>
      </right>
      <top style="slantDashDot">
        <color rgb="FFFFC000"/>
      </top>
      <bottom/>
      <diagonal/>
    </border>
    <border>
      <left style="slantDashDot">
        <color rgb="FF0070C0"/>
      </left>
      <right style="slantDashDot">
        <color rgb="FF0070C0"/>
      </right>
      <top style="slantDashDot">
        <color rgb="FF0070C0"/>
      </top>
      <bottom style="slantDashDot">
        <color rgb="FF0070C0"/>
      </bottom>
      <diagonal/>
    </border>
    <border>
      <left style="slantDashDot">
        <color rgb="FF0070C0"/>
      </left>
      <right style="slantDashDot">
        <color rgb="FF0070C0"/>
      </right>
      <top style="slantDashDot">
        <color rgb="FF0070C0"/>
      </top>
      <bottom/>
      <diagonal/>
    </border>
    <border>
      <left style="slantDashDot">
        <color rgb="FFFF66FF"/>
      </left>
      <right style="slantDashDot">
        <color rgb="FFFF66FF"/>
      </right>
      <top style="slantDashDot">
        <color rgb="FFFF66FF"/>
      </top>
      <bottom style="slantDashDot">
        <color rgb="FFFF66FF"/>
      </bottom>
      <diagonal/>
    </border>
    <border>
      <left style="slantDashDot">
        <color rgb="FFFF66FF"/>
      </left>
      <right style="slantDashDot">
        <color rgb="FFFF66FF"/>
      </right>
      <top style="slantDashDot">
        <color rgb="FFFF66FF"/>
      </top>
      <bottom/>
      <diagonal/>
    </border>
    <border>
      <left style="slantDashDot">
        <color rgb="FF7030A0"/>
      </left>
      <right style="slantDashDot">
        <color rgb="FF7030A0"/>
      </right>
      <top style="slantDashDot">
        <color rgb="FF7030A0"/>
      </top>
      <bottom style="slantDashDot">
        <color rgb="FF7030A0"/>
      </bottom>
      <diagonal/>
    </border>
    <border>
      <left/>
      <right/>
      <top style="thick">
        <color theme="4"/>
      </top>
      <bottom style="thick">
        <color theme="4"/>
      </bottom>
      <diagonal/>
    </border>
    <border>
      <left/>
      <right/>
      <top/>
      <bottom style="thick">
        <color rgb="FF0070C0"/>
      </bottom>
      <diagonal/>
    </border>
    <border>
      <left style="thick">
        <color theme="4" tint="-0.24994659260841701"/>
      </left>
      <right/>
      <top style="thick">
        <color rgb="FF0070C0"/>
      </top>
      <bottom style="thick">
        <color rgb="FF0070C0"/>
      </bottom>
      <diagonal/>
    </border>
    <border>
      <left style="thick">
        <color theme="4" tint="-0.24994659260841701"/>
      </left>
      <right/>
      <top style="thick">
        <color rgb="FF0070C0"/>
      </top>
      <bottom style="thick">
        <color theme="4" tint="-0.24994659260841701"/>
      </bottom>
      <diagonal/>
    </border>
    <border>
      <left style="thick">
        <color theme="4" tint="-0.24994659260841701"/>
      </left>
      <right/>
      <top style="thick">
        <color theme="4" tint="-0.24994659260841701"/>
      </top>
      <bottom style="thick">
        <color theme="4" tint="-0.24994659260841701"/>
      </bottom>
      <diagonal/>
    </border>
    <border>
      <left style="thick">
        <color theme="4" tint="-0.24994659260841701"/>
      </left>
      <right style="thick">
        <color theme="4" tint="-0.24994659260841701"/>
      </right>
      <top style="thick">
        <color theme="4" tint="-0.24994659260841701"/>
      </top>
      <bottom/>
      <diagonal/>
    </border>
    <border>
      <left style="thick">
        <color theme="4" tint="-0.24994659260841701"/>
      </left>
      <right style="thick">
        <color theme="4" tint="-0.24994659260841701"/>
      </right>
      <top/>
      <bottom/>
      <diagonal/>
    </border>
    <border>
      <left style="thick">
        <color theme="4" tint="-0.24994659260841701"/>
      </left>
      <right style="thick">
        <color theme="4" tint="-0.24994659260841701"/>
      </right>
      <top/>
      <bottom style="thick">
        <color theme="4" tint="-0.24994659260841701"/>
      </bottom>
      <diagonal/>
    </border>
    <border>
      <left/>
      <right style="thick">
        <color rgb="FF0070C0"/>
      </right>
      <top style="thick">
        <color rgb="FF0070C0"/>
      </top>
      <bottom style="thick">
        <color rgb="FF0070C0"/>
      </bottom>
      <diagonal/>
    </border>
    <border>
      <left style="thick">
        <color rgb="FF0070C0"/>
      </left>
      <right/>
      <top style="thick">
        <color rgb="FF0070C0"/>
      </top>
      <bottom style="thick">
        <color rgb="FF0070C0"/>
      </bottom>
      <diagonal/>
    </border>
    <border>
      <left/>
      <right style="thick">
        <color rgb="FF0070C0"/>
      </right>
      <top style="thick">
        <color rgb="FF0070C0"/>
      </top>
      <bottom style="thick">
        <color theme="4" tint="-0.24994659260841701"/>
      </bottom>
      <diagonal/>
    </border>
    <border>
      <left style="thick">
        <color rgb="FF0070C0"/>
      </left>
      <right/>
      <top style="thick">
        <color rgb="FF0070C0"/>
      </top>
      <bottom style="thick">
        <color theme="4" tint="-0.24994659260841701"/>
      </bottom>
      <diagonal/>
    </border>
    <border>
      <left/>
      <right/>
      <top style="thick">
        <color rgb="FF0070C0"/>
      </top>
      <bottom style="thick">
        <color theme="4" tint="-0.24994659260841701"/>
      </bottom>
      <diagonal/>
    </border>
    <border>
      <left/>
      <right/>
      <top style="thick">
        <color theme="4" tint="-0.24994659260841701"/>
      </top>
      <bottom style="thick">
        <color theme="4" tint="-0.24994659260841701"/>
      </bottom>
      <diagonal/>
    </border>
    <border>
      <left/>
      <right style="thick">
        <color rgb="FF0070C0"/>
      </right>
      <top style="thick">
        <color theme="4" tint="-0.24994659260841701"/>
      </top>
      <bottom style="thick">
        <color theme="4" tint="-0.24994659260841701"/>
      </bottom>
      <diagonal/>
    </border>
    <border>
      <left style="thick">
        <color rgb="FF0070C0"/>
      </left>
      <right/>
      <top style="thick">
        <color theme="4" tint="-0.24994659260841701"/>
      </top>
      <bottom style="thick">
        <color theme="4" tint="-0.24994659260841701"/>
      </bottom>
      <diagonal/>
    </border>
    <border>
      <left/>
      <right style="thick">
        <color theme="4" tint="-0.24994659260841701"/>
      </right>
      <top style="thick">
        <color rgb="FF0070C0"/>
      </top>
      <bottom style="thick">
        <color rgb="FF0070C0"/>
      </bottom>
      <diagonal/>
    </border>
    <border>
      <left/>
      <right style="thick">
        <color theme="4" tint="-0.24994659260841701"/>
      </right>
      <top style="thick">
        <color rgb="FF0070C0"/>
      </top>
      <bottom style="thick">
        <color theme="4" tint="-0.24994659260841701"/>
      </bottom>
      <diagonal/>
    </border>
    <border>
      <left/>
      <right style="thick">
        <color theme="4" tint="-0.24994659260841701"/>
      </right>
      <top style="thick">
        <color theme="4" tint="-0.24994659260841701"/>
      </top>
      <bottom style="thick">
        <color theme="4" tint="-0.24994659260841701"/>
      </bottom>
      <diagonal/>
    </border>
  </borders>
  <cellStyleXfs count="8">
    <xf numFmtId="0" fontId="0" fillId="0" borderId="0"/>
    <xf numFmtId="0" fontId="22" fillId="0" borderId="16" applyNumberFormat="0" applyFill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0" fillId="0" borderId="0"/>
    <xf numFmtId="0" fontId="40" fillId="0" borderId="0"/>
  </cellStyleXfs>
  <cellXfs count="242">
    <xf numFmtId="0" fontId="0" fillId="0" borderId="0" xfId="0"/>
    <xf numFmtId="0" fontId="2" fillId="0" borderId="5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177" fontId="0" fillId="0" borderId="5" xfId="0" applyNumberForma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2" fillId="0" borderId="9" xfId="0" applyFont="1" applyBorder="1" applyAlignment="1">
      <alignment horizontal="center" vertical="center"/>
    </xf>
    <xf numFmtId="0" fontId="0" fillId="0" borderId="10" xfId="0" applyBorder="1" applyAlignment="1">
      <alignment horizontal="center" vertical="center" wrapText="1"/>
    </xf>
    <xf numFmtId="9" fontId="0" fillId="0" borderId="5" xfId="0" applyNumberFormat="1" applyBorder="1" applyAlignment="1">
      <alignment horizontal="center" vertical="center"/>
    </xf>
    <xf numFmtId="0" fontId="0" fillId="0" borderId="0" xfId="0" applyAlignment="1">
      <alignment vertical="center"/>
    </xf>
    <xf numFmtId="0" fontId="6" fillId="0" borderId="0" xfId="1" applyFont="1" applyBorder="1" applyAlignment="1">
      <alignment horizontal="center" vertical="center"/>
    </xf>
    <xf numFmtId="0" fontId="7" fillId="0" borderId="16" xfId="1" applyFont="1" applyAlignment="1">
      <alignment horizontal="center" vertical="center"/>
    </xf>
    <xf numFmtId="0" fontId="8" fillId="0" borderId="16" xfId="1" applyFont="1" applyAlignment="1">
      <alignment horizontal="center" vertical="center"/>
    </xf>
    <xf numFmtId="0" fontId="8" fillId="0" borderId="18" xfId="0" applyFont="1" applyBorder="1" applyAlignment="1">
      <alignment horizontal="center" vertical="center"/>
    </xf>
    <xf numFmtId="0" fontId="6" fillId="0" borderId="16" xfId="1" applyFont="1" applyAlignment="1">
      <alignment horizontal="center" vertical="center"/>
    </xf>
    <xf numFmtId="0" fontId="6" fillId="0" borderId="0" xfId="1" applyFont="1" applyBorder="1" applyAlignment="1">
      <alignment vertical="center"/>
    </xf>
    <xf numFmtId="0" fontId="0" fillId="0" borderId="0" xfId="0" applyAlignment="1">
      <alignment horizontal="center" vertical="center"/>
    </xf>
    <xf numFmtId="0" fontId="10" fillId="0" borderId="5" xfId="0" applyFont="1" applyBorder="1" applyAlignment="1">
      <alignment horizontal="center" vertical="center"/>
    </xf>
    <xf numFmtId="0" fontId="10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0" fontId="2" fillId="0" borderId="5" xfId="0" applyFont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9" fillId="0" borderId="0" xfId="0" applyFont="1" applyAlignment="1">
      <alignment horizontal="center" vertical="center"/>
    </xf>
    <xf numFmtId="177" fontId="0" fillId="0" borderId="7" xfId="0" applyNumberFormat="1" applyBorder="1" applyAlignment="1">
      <alignment horizontal="center" vertical="center"/>
    </xf>
    <xf numFmtId="0" fontId="12" fillId="0" borderId="5" xfId="0" applyFont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18" fillId="0" borderId="0" xfId="0" applyFont="1"/>
    <xf numFmtId="0" fontId="0" fillId="0" borderId="0" xfId="0" applyAlignment="1">
      <alignment vertical="top" wrapText="1"/>
    </xf>
    <xf numFmtId="0" fontId="22" fillId="0" borderId="0" xfId="1" applyBorder="1" applyAlignment="1">
      <alignment horizontal="center"/>
    </xf>
    <xf numFmtId="0" fontId="0" fillId="0" borderId="22" xfId="0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0" fontId="0" fillId="0" borderId="26" xfId="0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0" fillId="0" borderId="28" xfId="0" applyBorder="1" applyAlignment="1">
      <alignment horizontal="center" vertical="center"/>
    </xf>
    <xf numFmtId="0" fontId="0" fillId="0" borderId="29" xfId="0" applyBorder="1" applyAlignment="1">
      <alignment horizontal="center" vertical="center"/>
    </xf>
    <xf numFmtId="0" fontId="0" fillId="0" borderId="30" xfId="0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27" fillId="0" borderId="16" xfId="1" applyFont="1" applyAlignment="1">
      <alignment horizontal="center" vertical="center"/>
    </xf>
    <xf numFmtId="0" fontId="0" fillId="0" borderId="32" xfId="0" applyBorder="1" applyAlignment="1">
      <alignment horizontal="center" vertical="center"/>
    </xf>
    <xf numFmtId="0" fontId="30" fillId="0" borderId="33" xfId="0" applyFont="1" applyBorder="1" applyAlignment="1">
      <alignment horizontal="center" vertical="center" wrapText="1"/>
    </xf>
    <xf numFmtId="0" fontId="0" fillId="0" borderId="33" xfId="0" applyBorder="1" applyAlignment="1">
      <alignment horizontal="center" vertical="center" wrapText="1"/>
    </xf>
    <xf numFmtId="9" fontId="0" fillId="0" borderId="33" xfId="0" applyNumberFormat="1" applyBorder="1" applyAlignment="1">
      <alignment horizontal="center" vertical="center" wrapText="1"/>
    </xf>
    <xf numFmtId="0" fontId="34" fillId="0" borderId="22" xfId="0" applyFont="1" applyBorder="1" applyAlignment="1">
      <alignment horizontal="center" vertical="center"/>
    </xf>
    <xf numFmtId="0" fontId="34" fillId="0" borderId="23" xfId="0" applyFont="1" applyBorder="1" applyAlignment="1">
      <alignment horizontal="center" vertical="center"/>
    </xf>
    <xf numFmtId="0" fontId="34" fillId="0" borderId="24" xfId="0" applyFont="1" applyBorder="1" applyAlignment="1">
      <alignment horizontal="center" vertical="center"/>
    </xf>
    <xf numFmtId="0" fontId="34" fillId="0" borderId="25" xfId="0" applyFont="1" applyBorder="1" applyAlignment="1">
      <alignment horizontal="center" vertical="center"/>
    </xf>
    <xf numFmtId="0" fontId="34" fillId="0" borderId="26" xfId="0" applyFont="1" applyBorder="1" applyAlignment="1">
      <alignment horizontal="center" vertical="center"/>
    </xf>
    <xf numFmtId="0" fontId="34" fillId="0" borderId="27" xfId="0" applyFont="1" applyBorder="1" applyAlignment="1">
      <alignment horizontal="center" vertical="center"/>
    </xf>
    <xf numFmtId="0" fontId="34" fillId="0" borderId="28" xfId="0" applyFont="1" applyBorder="1" applyAlignment="1">
      <alignment horizontal="center" vertical="center"/>
    </xf>
    <xf numFmtId="0" fontId="34" fillId="0" borderId="29" xfId="0" applyFont="1" applyBorder="1" applyAlignment="1">
      <alignment horizontal="center" vertical="center"/>
    </xf>
    <xf numFmtId="0" fontId="34" fillId="0" borderId="30" xfId="0" applyFont="1" applyBorder="1" applyAlignment="1">
      <alignment horizontal="center" vertical="center"/>
    </xf>
    <xf numFmtId="0" fontId="34" fillId="0" borderId="31" xfId="0" applyFont="1" applyBorder="1" applyAlignment="1">
      <alignment horizontal="center" vertical="center"/>
    </xf>
    <xf numFmtId="0" fontId="34" fillId="0" borderId="32" xfId="0" applyFont="1" applyBorder="1" applyAlignment="1">
      <alignment horizontal="center" vertical="center"/>
    </xf>
    <xf numFmtId="0" fontId="6" fillId="0" borderId="10" xfId="1" applyFont="1" applyBorder="1" applyAlignment="1">
      <alignment horizontal="center" vertical="center"/>
    </xf>
    <xf numFmtId="0" fontId="35" fillId="0" borderId="10" xfId="1" applyFont="1" applyBorder="1" applyAlignment="1">
      <alignment horizontal="center" vertical="center" wrapText="1"/>
    </xf>
    <xf numFmtId="0" fontId="36" fillId="0" borderId="10" xfId="1" applyFont="1" applyBorder="1" applyAlignment="1">
      <alignment horizontal="center" vertical="center"/>
    </xf>
    <xf numFmtId="0" fontId="38" fillId="0" borderId="10" xfId="1" applyFont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35" fillId="0" borderId="0" xfId="1" applyFont="1" applyBorder="1" applyAlignment="1">
      <alignment horizontal="center" vertical="center" wrapText="1"/>
    </xf>
    <xf numFmtId="0" fontId="35" fillId="0" borderId="0" xfId="1" applyFont="1" applyBorder="1" applyAlignment="1">
      <alignment horizontal="center" vertical="center"/>
    </xf>
    <xf numFmtId="0" fontId="37" fillId="0" borderId="0" xfId="1" applyFont="1" applyBorder="1" applyAlignment="1">
      <alignment horizontal="center" vertical="center"/>
    </xf>
    <xf numFmtId="0" fontId="8" fillId="0" borderId="33" xfId="1" applyFont="1" applyBorder="1" applyAlignment="1">
      <alignment horizontal="right" vertical="center"/>
    </xf>
    <xf numFmtId="0" fontId="40" fillId="0" borderId="5" xfId="0" applyFont="1" applyBorder="1" applyAlignment="1">
      <alignment horizontal="center" vertical="center"/>
    </xf>
    <xf numFmtId="0" fontId="52" fillId="0" borderId="5" xfId="0" applyFont="1" applyBorder="1" applyAlignment="1">
      <alignment horizontal="center" vertical="center"/>
    </xf>
    <xf numFmtId="0" fontId="55" fillId="0" borderId="16" xfId="1" applyFont="1" applyAlignment="1">
      <alignment horizontal="center" vertical="center"/>
    </xf>
    <xf numFmtId="0" fontId="37" fillId="0" borderId="10" xfId="1" applyFont="1" applyBorder="1" applyAlignment="1">
      <alignment horizontal="center" vertical="center"/>
    </xf>
    <xf numFmtId="0" fontId="27" fillId="0" borderId="20" xfId="1" applyFont="1" applyBorder="1" applyAlignment="1">
      <alignment horizontal="center" vertical="center"/>
    </xf>
    <xf numFmtId="0" fontId="27" fillId="0" borderId="0" xfId="1" applyFont="1" applyBorder="1" applyAlignment="1">
      <alignment horizontal="center" vertical="center"/>
    </xf>
    <xf numFmtId="0" fontId="27" fillId="0" borderId="16" xfId="1" applyFont="1" applyAlignment="1">
      <alignment horizontal="center" vertical="center"/>
    </xf>
    <xf numFmtId="0" fontId="27" fillId="0" borderId="20" xfId="1" applyFont="1" applyBorder="1" applyAlignment="1" applyProtection="1">
      <alignment horizontal="center" vertical="center"/>
      <protection locked="0"/>
    </xf>
    <xf numFmtId="0" fontId="27" fillId="0" borderId="0" xfId="1" applyFont="1" applyBorder="1" applyAlignment="1" applyProtection="1">
      <alignment horizontal="center" vertical="center"/>
      <protection locked="0"/>
    </xf>
    <xf numFmtId="0" fontId="27" fillId="0" borderId="16" xfId="1" applyFont="1" applyAlignment="1" applyProtection="1">
      <alignment horizontal="center" vertical="center"/>
      <protection locked="0"/>
    </xf>
    <xf numFmtId="0" fontId="23" fillId="0" borderId="22" xfId="0" applyFont="1" applyBorder="1" applyAlignment="1">
      <alignment horizontal="center" vertical="center"/>
    </xf>
    <xf numFmtId="0" fontId="23" fillId="0" borderId="23" xfId="0" applyFont="1" applyBorder="1" applyAlignment="1">
      <alignment horizontal="center" vertical="center"/>
    </xf>
    <xf numFmtId="0" fontId="24" fillId="0" borderId="24" xfId="0" applyFont="1" applyBorder="1" applyAlignment="1">
      <alignment horizontal="center" vertical="center"/>
    </xf>
    <xf numFmtId="0" fontId="24" fillId="0" borderId="25" xfId="0" applyFont="1" applyBorder="1" applyAlignment="1">
      <alignment horizontal="center" vertical="center"/>
    </xf>
    <xf numFmtId="0" fontId="25" fillId="0" borderId="26" xfId="0" applyFont="1" applyBorder="1" applyAlignment="1">
      <alignment horizontal="center" vertical="center"/>
    </xf>
    <xf numFmtId="0" fontId="25" fillId="0" borderId="27" xfId="0" applyFont="1" applyBorder="1" applyAlignment="1">
      <alignment horizontal="center" vertical="center"/>
    </xf>
    <xf numFmtId="0" fontId="26" fillId="0" borderId="28" xfId="0" applyFont="1" applyBorder="1" applyAlignment="1">
      <alignment horizontal="center" vertical="center"/>
    </xf>
    <xf numFmtId="0" fontId="26" fillId="0" borderId="29" xfId="0" applyFont="1" applyBorder="1" applyAlignment="1">
      <alignment horizontal="center" vertical="center"/>
    </xf>
    <xf numFmtId="0" fontId="28" fillId="0" borderId="30" xfId="0" applyFont="1" applyBorder="1" applyAlignment="1">
      <alignment horizontal="center" vertical="center"/>
    </xf>
    <xf numFmtId="0" fontId="28" fillId="0" borderId="31" xfId="0" applyFont="1" applyBorder="1" applyAlignment="1">
      <alignment horizontal="center" vertical="center"/>
    </xf>
    <xf numFmtId="0" fontId="29" fillId="0" borderId="32" xfId="0" applyFont="1" applyBorder="1" applyAlignment="1">
      <alignment horizontal="center" vertical="center"/>
    </xf>
    <xf numFmtId="0" fontId="8" fillId="0" borderId="20" xfId="1" applyFont="1" applyBorder="1" applyAlignment="1">
      <alignment horizontal="center" vertical="center" wrapText="1"/>
    </xf>
    <xf numFmtId="0" fontId="8" fillId="0" borderId="0" xfId="1" applyFont="1" applyBorder="1" applyAlignment="1">
      <alignment horizontal="center" vertical="center" wrapText="1"/>
    </xf>
    <xf numFmtId="0" fontId="8" fillId="0" borderId="16" xfId="1" applyFont="1" applyAlignment="1">
      <alignment horizontal="center" vertical="center" wrapText="1"/>
    </xf>
    <xf numFmtId="0" fontId="32" fillId="0" borderId="20" xfId="1" applyFont="1" applyBorder="1" applyAlignment="1">
      <alignment horizontal="center" vertical="center" wrapText="1"/>
    </xf>
    <xf numFmtId="0" fontId="32" fillId="0" borderId="0" xfId="1" applyFont="1" applyBorder="1" applyAlignment="1">
      <alignment horizontal="center" vertical="center" wrapText="1"/>
    </xf>
    <xf numFmtId="0" fontId="32" fillId="0" borderId="16" xfId="1" applyFont="1" applyAlignment="1">
      <alignment horizontal="center" vertical="center" wrapText="1"/>
    </xf>
    <xf numFmtId="0" fontId="33" fillId="0" borderId="20" xfId="1" applyFont="1" applyBorder="1" applyAlignment="1">
      <alignment horizontal="center" vertical="center" wrapText="1"/>
    </xf>
    <xf numFmtId="0" fontId="33" fillId="0" borderId="0" xfId="1" applyFont="1" applyBorder="1" applyAlignment="1">
      <alignment horizontal="center" vertical="center" wrapText="1"/>
    </xf>
    <xf numFmtId="0" fontId="33" fillId="0" borderId="16" xfId="1" applyFont="1" applyAlignment="1">
      <alignment horizontal="center" vertical="center" wrapText="1"/>
    </xf>
    <xf numFmtId="0" fontId="0" fillId="0" borderId="33" xfId="0" applyBorder="1" applyAlignment="1">
      <alignment horizontal="center" vertical="center" wrapText="1"/>
    </xf>
    <xf numFmtId="0" fontId="30" fillId="0" borderId="33" xfId="0" applyFont="1" applyBorder="1" applyAlignment="1">
      <alignment horizontal="center" vertical="center" wrapText="1"/>
    </xf>
    <xf numFmtId="0" fontId="0" fillId="0" borderId="37" xfId="0" applyBorder="1" applyAlignment="1">
      <alignment horizontal="center"/>
    </xf>
    <xf numFmtId="0" fontId="0" fillId="0" borderId="47" xfId="0" applyBorder="1" applyAlignment="1">
      <alignment horizontal="center"/>
    </xf>
    <xf numFmtId="0" fontId="0" fillId="0" borderId="48" xfId="0" applyBorder="1" applyAlignment="1">
      <alignment horizontal="center"/>
    </xf>
    <xf numFmtId="0" fontId="0" fillId="0" borderId="51" xfId="0" applyBorder="1" applyAlignment="1">
      <alignment horizontal="center"/>
    </xf>
    <xf numFmtId="0" fontId="39" fillId="0" borderId="38" xfId="0" applyFont="1" applyBorder="1" applyAlignment="1">
      <alignment horizontal="center" vertical="center" wrapText="1"/>
    </xf>
    <xf numFmtId="0" fontId="39" fillId="0" borderId="39" xfId="0" applyFont="1" applyBorder="1" applyAlignment="1">
      <alignment horizontal="center" vertical="center" wrapText="1"/>
    </xf>
    <xf numFmtId="0" fontId="39" fillId="0" borderId="40" xfId="0" applyFont="1" applyBorder="1" applyAlignment="1">
      <alignment horizontal="center" vertical="center" wrapText="1"/>
    </xf>
    <xf numFmtId="0" fontId="35" fillId="0" borderId="10" xfId="1" applyFont="1" applyBorder="1" applyAlignment="1">
      <alignment horizontal="center" vertical="center"/>
    </xf>
    <xf numFmtId="0" fontId="6" fillId="0" borderId="10" xfId="1" applyFont="1" applyBorder="1" applyAlignment="1">
      <alignment horizontal="center" vertical="center"/>
    </xf>
    <xf numFmtId="0" fontId="35" fillId="0" borderId="10" xfId="1" applyFont="1" applyBorder="1" applyAlignment="1">
      <alignment horizontal="center" vertical="center" wrapText="1"/>
    </xf>
    <xf numFmtId="0" fontId="31" fillId="0" borderId="33" xfId="1" applyFont="1" applyBorder="1" applyAlignment="1">
      <alignment horizontal="center" vertical="center"/>
    </xf>
    <xf numFmtId="0" fontId="8" fillId="0" borderId="33" xfId="1" applyFont="1" applyBorder="1" applyAlignment="1">
      <alignment horizontal="center" vertical="center"/>
    </xf>
    <xf numFmtId="0" fontId="6" fillId="0" borderId="16" xfId="1" applyFont="1" applyAlignment="1">
      <alignment horizontal="center"/>
    </xf>
    <xf numFmtId="0" fontId="6" fillId="0" borderId="33" xfId="1" applyFont="1" applyBorder="1" applyAlignment="1">
      <alignment horizontal="center" vertical="center"/>
    </xf>
    <xf numFmtId="0" fontId="22" fillId="0" borderId="34" xfId="1" applyBorder="1" applyAlignment="1">
      <alignment horizontal="center"/>
    </xf>
    <xf numFmtId="0" fontId="8" fillId="0" borderId="16" xfId="1" applyFont="1" applyAlignment="1">
      <alignment horizontal="center" vertical="center"/>
    </xf>
    <xf numFmtId="0" fontId="4" fillId="0" borderId="10" xfId="0" applyFont="1" applyBorder="1" applyAlignment="1">
      <alignment horizontal="center" vertical="center" wrapText="1"/>
    </xf>
    <xf numFmtId="0" fontId="0" fillId="0" borderId="46" xfId="0" applyBorder="1" applyAlignment="1">
      <alignment horizontal="center"/>
    </xf>
    <xf numFmtId="0" fontId="0" fillId="0" borderId="0" xfId="0" applyAlignment="1">
      <alignment horizontal="center"/>
    </xf>
    <xf numFmtId="0" fontId="3" fillId="3" borderId="10" xfId="6" applyFont="1" applyFill="1" applyBorder="1" applyAlignment="1">
      <alignment horizontal="left" vertical="center"/>
    </xf>
    <xf numFmtId="0" fontId="5" fillId="3" borderId="10" xfId="6" applyFont="1" applyFill="1" applyBorder="1" applyAlignment="1">
      <alignment horizontal="left" vertical="center"/>
    </xf>
    <xf numFmtId="0" fontId="0" fillId="0" borderId="10" xfId="0" applyBorder="1" applyAlignment="1">
      <alignment horizontal="center"/>
    </xf>
    <xf numFmtId="176" fontId="0" fillId="0" borderId="36" xfId="0" applyNumberFormat="1" applyBorder="1" applyAlignment="1">
      <alignment horizontal="center"/>
    </xf>
    <xf numFmtId="176" fontId="0" fillId="0" borderId="43" xfId="0" applyNumberFormat="1" applyBorder="1" applyAlignment="1">
      <alignment horizontal="center"/>
    </xf>
    <xf numFmtId="0" fontId="0" fillId="0" borderId="44" xfId="0" applyBorder="1" applyAlignment="1">
      <alignment horizontal="center"/>
    </xf>
    <xf numFmtId="0" fontId="0" fillId="0" borderId="45" xfId="0" applyBorder="1" applyAlignment="1">
      <alignment horizontal="center"/>
    </xf>
    <xf numFmtId="0" fontId="0" fillId="0" borderId="43" xfId="0" applyBorder="1" applyAlignment="1">
      <alignment horizontal="center"/>
    </xf>
    <xf numFmtId="0" fontId="0" fillId="0" borderId="50" xfId="0" applyBorder="1" applyAlignment="1">
      <alignment horizontal="center"/>
    </xf>
    <xf numFmtId="0" fontId="3" fillId="4" borderId="10" xfId="6" applyFont="1" applyFill="1" applyBorder="1" applyAlignment="1">
      <alignment horizontal="left" vertical="center"/>
    </xf>
    <xf numFmtId="0" fontId="5" fillId="4" borderId="10" xfId="6" applyFont="1" applyFill="1" applyBorder="1" applyAlignment="1">
      <alignment horizontal="left" vertical="center"/>
    </xf>
    <xf numFmtId="176" fontId="0" fillId="0" borderId="42" xfId="0" applyNumberFormat="1" applyBorder="1" applyAlignment="1">
      <alignment horizontal="center"/>
    </xf>
    <xf numFmtId="176" fontId="0" fillId="0" borderId="41" xfId="0" applyNumberFormat="1" applyBorder="1" applyAlignment="1">
      <alignment horizontal="center"/>
    </xf>
    <xf numFmtId="176" fontId="0" fillId="0" borderId="49" xfId="0" applyNumberFormat="1" applyBorder="1" applyAlignment="1">
      <alignment horizontal="center"/>
    </xf>
    <xf numFmtId="176" fontId="0" fillId="0" borderId="35" xfId="0" applyNumberFormat="1" applyBorder="1" applyAlignment="1">
      <alignment horizontal="center"/>
    </xf>
    <xf numFmtId="0" fontId="22" fillId="0" borderId="0" xfId="1" applyBorder="1" applyAlignment="1">
      <alignment horizontal="center"/>
    </xf>
    <xf numFmtId="0" fontId="3" fillId="2" borderId="10" xfId="6" applyFont="1" applyFill="1" applyBorder="1" applyAlignment="1">
      <alignment horizontal="left" vertical="center"/>
    </xf>
    <xf numFmtId="0" fontId="0" fillId="0" borderId="19" xfId="0" applyBorder="1" applyAlignment="1">
      <alignment horizontal="center" vertical="center" wrapText="1"/>
    </xf>
    <xf numFmtId="0" fontId="0" fillId="0" borderId="17" xfId="0" applyBorder="1" applyAlignment="1">
      <alignment horizontal="center" vertical="center" wrapText="1"/>
    </xf>
    <xf numFmtId="0" fontId="0" fillId="0" borderId="0" xfId="0" applyAlignment="1">
      <alignment horizontal="center" vertical="top" wrapText="1"/>
    </xf>
    <xf numFmtId="0" fontId="19" fillId="0" borderId="19" xfId="0" applyFont="1" applyBorder="1" applyAlignment="1">
      <alignment horizontal="center" vertical="center" wrapText="1"/>
    </xf>
    <xf numFmtId="0" fontId="19" fillId="0" borderId="17" xfId="0" applyFont="1" applyBorder="1" applyAlignment="1">
      <alignment horizontal="center" vertical="center" wrapText="1"/>
    </xf>
    <xf numFmtId="0" fontId="20" fillId="0" borderId="0" xfId="6" applyFont="1" applyAlignment="1">
      <alignment horizontal="center" vertical="center" wrapText="1"/>
    </xf>
    <xf numFmtId="0" fontId="16" fillId="0" borderId="0" xfId="0" applyFont="1" applyAlignment="1">
      <alignment horizontal="center" vertical="center"/>
    </xf>
    <xf numFmtId="0" fontId="21" fillId="0" borderId="19" xfId="0" applyFont="1" applyBorder="1" applyAlignment="1">
      <alignment horizontal="center" vertical="center" wrapText="1"/>
    </xf>
    <xf numFmtId="0" fontId="21" fillId="0" borderId="17" xfId="0" applyFont="1" applyBorder="1" applyAlignment="1">
      <alignment horizontal="center" vertical="center" wrapText="1"/>
    </xf>
    <xf numFmtId="0" fontId="49" fillId="0" borderId="19" xfId="0" applyFont="1" applyBorder="1" applyAlignment="1">
      <alignment horizontal="center" vertical="center" wrapText="1"/>
    </xf>
    <xf numFmtId="0" fontId="17" fillId="0" borderId="0" xfId="0" applyFont="1" applyAlignment="1">
      <alignment horizontal="center" vertical="center"/>
    </xf>
    <xf numFmtId="0" fontId="0" fillId="0" borderId="0" xfId="0" applyAlignment="1">
      <alignment horizontal="left" vertical="top" wrapText="1"/>
    </xf>
    <xf numFmtId="0" fontId="19" fillId="0" borderId="0" xfId="0" applyFont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16" fillId="0" borderId="0" xfId="0" applyFont="1" applyAlignment="1">
      <alignment horizontal="center"/>
    </xf>
    <xf numFmtId="0" fontId="40" fillId="0" borderId="0" xfId="0" applyFont="1" applyAlignment="1">
      <alignment horizontal="left" vertical="top" wrapText="1"/>
    </xf>
    <xf numFmtId="0" fontId="15" fillId="0" borderId="1" xfId="0" applyFont="1" applyBorder="1" applyAlignment="1">
      <alignment horizontal="center" vertical="center"/>
    </xf>
    <xf numFmtId="0" fontId="15" fillId="0" borderId="2" xfId="0" applyFont="1" applyBorder="1" applyAlignment="1">
      <alignment horizontal="center" vertical="center"/>
    </xf>
    <xf numFmtId="0" fontId="15" fillId="0" borderId="11" xfId="0" applyFont="1" applyBorder="1" applyAlignment="1">
      <alignment horizontal="center" vertical="center"/>
    </xf>
    <xf numFmtId="0" fontId="15" fillId="0" borderId="3" xfId="0" applyFont="1" applyBorder="1" applyAlignment="1">
      <alignment horizontal="center" vertical="center"/>
    </xf>
    <xf numFmtId="0" fontId="15" fillId="0" borderId="4" xfId="0" applyFont="1" applyBorder="1" applyAlignment="1">
      <alignment horizontal="center" vertical="center"/>
    </xf>
    <xf numFmtId="0" fontId="15" fillId="0" borderId="12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5" xfId="0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/>
    </xf>
    <xf numFmtId="0" fontId="14" fillId="0" borderId="5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40" fillId="0" borderId="5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21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53" fillId="0" borderId="6" xfId="0" applyFont="1" applyBorder="1" applyAlignment="1">
      <alignment horizontal="center" vertical="center"/>
    </xf>
    <xf numFmtId="0" fontId="13" fillId="0" borderId="9" xfId="0" applyFont="1" applyBorder="1" applyAlignment="1">
      <alignment horizontal="center" vertical="center"/>
    </xf>
    <xf numFmtId="0" fontId="53" fillId="0" borderId="9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0" fontId="11" fillId="0" borderId="13" xfId="0" applyFont="1" applyBorder="1" applyAlignment="1">
      <alignment horizontal="center" vertical="center"/>
    </xf>
    <xf numFmtId="0" fontId="11" fillId="0" borderId="21" xfId="0" applyFont="1" applyBorder="1" applyAlignment="1">
      <alignment horizontal="center" vertical="center"/>
    </xf>
    <xf numFmtId="0" fontId="11" fillId="0" borderId="14" xfId="0" applyFont="1" applyBorder="1" applyAlignment="1">
      <alignment horizontal="center" vertical="center"/>
    </xf>
    <xf numFmtId="0" fontId="0" fillId="5" borderId="1" xfId="0" applyFill="1" applyBorder="1" applyAlignment="1">
      <alignment horizontal="center" vertical="center" wrapText="1"/>
    </xf>
    <xf numFmtId="0" fontId="0" fillId="5" borderId="2" xfId="0" applyFill="1" applyBorder="1" applyAlignment="1">
      <alignment horizontal="center" vertical="center" wrapText="1"/>
    </xf>
    <xf numFmtId="0" fontId="0" fillId="5" borderId="11" xfId="0" applyFill="1" applyBorder="1" applyAlignment="1">
      <alignment horizontal="center" vertical="center" wrapText="1"/>
    </xf>
    <xf numFmtId="0" fontId="0" fillId="5" borderId="3" xfId="0" applyFill="1" applyBorder="1" applyAlignment="1">
      <alignment horizontal="center" vertical="center" wrapText="1"/>
    </xf>
    <xf numFmtId="0" fontId="0" fillId="5" borderId="4" xfId="0" applyFill="1" applyBorder="1" applyAlignment="1">
      <alignment horizontal="center" vertical="center" wrapText="1"/>
    </xf>
    <xf numFmtId="0" fontId="0" fillId="5" borderId="12" xfId="0" applyFill="1" applyBorder="1" applyAlignment="1">
      <alignment horizontal="center" vertical="center" wrapText="1"/>
    </xf>
    <xf numFmtId="0" fontId="40" fillId="0" borderId="1" xfId="0" applyFont="1" applyBorder="1" applyAlignment="1">
      <alignment horizontal="center" vertical="center" wrapText="1"/>
    </xf>
    <xf numFmtId="177" fontId="0" fillId="0" borderId="5" xfId="0" applyNumberFormat="1" applyBorder="1" applyAlignment="1">
      <alignment horizontal="center" vertical="center"/>
    </xf>
    <xf numFmtId="0" fontId="40" fillId="5" borderId="1" xfId="0" applyFont="1" applyFill="1" applyBorder="1" applyAlignment="1">
      <alignment horizontal="center" vertical="center" wrapText="1"/>
    </xf>
    <xf numFmtId="0" fontId="0" fillId="5" borderId="8" xfId="0" applyFill="1" applyBorder="1" applyAlignment="1">
      <alignment horizontal="center" vertical="center" wrapText="1"/>
    </xf>
    <xf numFmtId="0" fontId="0" fillId="5" borderId="0" xfId="0" applyFill="1" applyAlignment="1">
      <alignment horizontal="center" vertical="center" wrapText="1"/>
    </xf>
    <xf numFmtId="0" fontId="0" fillId="5" borderId="15" xfId="0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9" fillId="0" borderId="11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9" fillId="0" borderId="12" xfId="0" applyFont="1" applyBorder="1" applyAlignment="1">
      <alignment horizontal="center" vertical="center"/>
    </xf>
    <xf numFmtId="0" fontId="10" fillId="0" borderId="5" xfId="0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/>
    </xf>
    <xf numFmtId="0" fontId="48" fillId="0" borderId="0" xfId="1" applyFont="1" applyBorder="1" applyAlignment="1">
      <alignment horizontal="center" vertical="center"/>
    </xf>
    <xf numFmtId="0" fontId="48" fillId="0" borderId="16" xfId="1" applyFont="1" applyAlignment="1">
      <alignment horizontal="center" vertical="center"/>
    </xf>
    <xf numFmtId="0" fontId="48" fillId="0" borderId="20" xfId="1" applyFont="1" applyBorder="1" applyAlignment="1">
      <alignment horizontal="center" vertical="center"/>
    </xf>
    <xf numFmtId="0" fontId="40" fillId="0" borderId="20" xfId="1" applyFont="1" applyBorder="1" applyAlignment="1">
      <alignment horizontal="center" vertical="center"/>
    </xf>
    <xf numFmtId="0" fontId="40" fillId="0" borderId="0" xfId="1" applyFont="1" applyBorder="1" applyAlignment="1">
      <alignment horizontal="center" vertical="center" wrapText="1"/>
    </xf>
    <xf numFmtId="0" fontId="48" fillId="0" borderId="0" xfId="1" applyFont="1" applyBorder="1" applyAlignment="1">
      <alignment horizontal="center" vertical="center" wrapText="1"/>
    </xf>
    <xf numFmtId="0" fontId="48" fillId="0" borderId="16" xfId="1" applyFont="1" applyAlignment="1">
      <alignment horizontal="center" vertical="center" wrapText="1"/>
    </xf>
    <xf numFmtId="0" fontId="40" fillId="0" borderId="19" xfId="0" applyFont="1" applyBorder="1" applyAlignment="1">
      <alignment horizontal="center" vertical="center" wrapText="1"/>
    </xf>
    <xf numFmtId="0" fontId="8" fillId="0" borderId="18" xfId="0" applyFont="1" applyBorder="1" applyAlignment="1">
      <alignment horizontal="center" vertical="center"/>
    </xf>
    <xf numFmtId="0" fontId="6" fillId="0" borderId="0" xfId="1" applyFont="1" applyBorder="1" applyAlignment="1">
      <alignment horizontal="center" vertical="center"/>
    </xf>
    <xf numFmtId="0" fontId="6" fillId="0" borderId="17" xfId="1" applyFont="1" applyBorder="1" applyAlignment="1">
      <alignment horizontal="center" vertical="center"/>
    </xf>
    <xf numFmtId="0" fontId="7" fillId="0" borderId="20" xfId="1" applyFont="1" applyBorder="1" applyAlignment="1">
      <alignment horizontal="center" vertical="center"/>
    </xf>
    <xf numFmtId="0" fontId="7" fillId="0" borderId="16" xfId="1" applyFont="1" applyAlignment="1">
      <alignment horizontal="center" vertical="center"/>
    </xf>
    <xf numFmtId="0" fontId="8" fillId="0" borderId="20" xfId="1" applyFont="1" applyBorder="1" applyAlignment="1">
      <alignment horizontal="center" vertical="center"/>
    </xf>
    <xf numFmtId="0" fontId="55" fillId="0" borderId="33" xfId="1" applyFont="1" applyBorder="1" applyAlignment="1">
      <alignment horizontal="center" vertical="center"/>
    </xf>
    <xf numFmtId="0" fontId="7" fillId="0" borderId="33" xfId="1" applyFont="1" applyBorder="1" applyAlignment="1">
      <alignment horizontal="center" vertical="center"/>
    </xf>
    <xf numFmtId="0" fontId="54" fillId="0" borderId="16" xfId="1" applyFont="1" applyAlignment="1">
      <alignment horizontal="center"/>
    </xf>
    <xf numFmtId="0" fontId="2" fillId="0" borderId="6" xfId="0" applyFont="1" applyBorder="1" applyAlignment="1">
      <alignment horizontal="center" vertical="center"/>
    </xf>
    <xf numFmtId="0" fontId="5" fillId="4" borderId="34" xfId="6" applyFont="1" applyFill="1" applyBorder="1" applyAlignment="1">
      <alignment horizontal="left" vertical="center"/>
    </xf>
    <xf numFmtId="0" fontId="0" fillId="0" borderId="34" xfId="0" applyBorder="1" applyAlignment="1">
      <alignment horizontal="center"/>
    </xf>
  </cellXfs>
  <cellStyles count="8">
    <cellStyle name="标题 1" xfId="1" builtinId="16"/>
    <cellStyle name="差_技能大表" xfId="2" xr:uid="{00000000-0005-0000-0000-000014000000}"/>
    <cellStyle name="差_技能大表_1" xfId="3" xr:uid="{00000000-0005-0000-0000-000018000000}"/>
    <cellStyle name="常规" xfId="0" builtinId="0"/>
    <cellStyle name="常规 2" xfId="6" xr:uid="{00000000-0005-0000-0000-000035000000}"/>
    <cellStyle name="常规 3" xfId="7" xr:uid="{00000000-0005-0000-0000-000036000000}"/>
    <cellStyle name="好_技能大表" xfId="5" xr:uid="{00000000-0005-0000-0000-00002F000000}"/>
    <cellStyle name="好_技能大表_1" xfId="4" xr:uid="{00000000-0005-0000-0000-00001B000000}"/>
  </cellStyles>
  <dxfs count="24">
    <dxf>
      <fill>
        <patternFill patternType="solid">
          <bgColor theme="9" tint="0.59999389629810485"/>
        </patternFill>
      </fill>
    </dxf>
    <dxf>
      <fill>
        <patternFill patternType="solid">
          <bgColor theme="9" tint="0.59999389629810485"/>
        </patternFill>
      </fill>
    </dxf>
    <dxf>
      <fill>
        <patternFill patternType="solid">
          <bgColor theme="9" tint="0.59999389629810485"/>
        </patternFill>
      </fill>
    </dxf>
    <dxf>
      <fill>
        <patternFill patternType="solid">
          <bgColor theme="9" tint="0.59999389629810485"/>
        </patternFill>
      </fill>
    </dxf>
    <dxf>
      <fill>
        <patternFill patternType="solid">
          <bgColor theme="9" tint="0.59999389629810485"/>
        </patternFill>
      </fill>
    </dxf>
    <dxf>
      <fill>
        <patternFill patternType="solid">
          <bgColor theme="9" tint="0.59999389629810485"/>
        </patternFill>
      </fill>
    </dxf>
    <dxf>
      <fill>
        <patternFill patternType="solid">
          <bgColor theme="9" tint="0.59999389629810485"/>
        </patternFill>
      </fill>
    </dxf>
    <dxf>
      <fill>
        <patternFill patternType="solid">
          <bgColor theme="9" tint="0.59999389629810485"/>
        </patternFill>
      </fill>
    </dxf>
    <dxf>
      <fill>
        <patternFill patternType="solid">
          <bgColor theme="9" tint="0.59999389629810485"/>
        </patternFill>
      </fill>
    </dxf>
    <dxf>
      <fill>
        <patternFill patternType="solid">
          <bgColor theme="9" tint="0.59999389629810485"/>
        </patternFill>
      </fill>
    </dxf>
    <dxf>
      <fill>
        <patternFill patternType="solid">
          <bgColor theme="9" tint="0.59999389629810485"/>
        </patternFill>
      </fill>
    </dxf>
    <dxf>
      <fill>
        <patternFill patternType="solid">
          <bgColor theme="9" tint="0.59999389629810485"/>
        </patternFill>
      </fill>
    </dxf>
    <dxf>
      <fill>
        <patternFill patternType="solid">
          <bgColor theme="9" tint="0.59999389629810485"/>
        </patternFill>
      </fill>
    </dxf>
    <dxf>
      <fill>
        <patternFill patternType="solid">
          <bgColor theme="9" tint="0.59999389629810485"/>
        </patternFill>
      </fill>
    </dxf>
    <dxf>
      <fill>
        <patternFill patternType="solid">
          <bgColor theme="9" tint="0.59999389629810485"/>
        </patternFill>
      </fill>
    </dxf>
    <dxf>
      <fill>
        <patternFill patternType="solid">
          <bgColor theme="9" tint="0.59999389629810485"/>
        </patternFill>
      </fill>
    </dxf>
    <dxf>
      <fill>
        <patternFill patternType="solid">
          <bgColor theme="9" tint="0.59999389629810485"/>
        </patternFill>
      </fill>
    </dxf>
    <dxf>
      <fill>
        <patternFill patternType="solid">
          <bgColor theme="9" tint="0.59999389629810485"/>
        </patternFill>
      </fill>
    </dxf>
    <dxf>
      <fill>
        <patternFill patternType="solid">
          <bgColor theme="9" tint="0.59999389629810485"/>
        </patternFill>
      </fill>
    </dxf>
    <dxf>
      <fill>
        <patternFill patternType="solid">
          <bgColor theme="9" tint="0.59999389629810485"/>
        </patternFill>
      </fill>
    </dxf>
    <dxf>
      <fill>
        <patternFill patternType="solid">
          <bgColor theme="9" tint="0.59999389629810485"/>
        </patternFill>
      </fill>
    </dxf>
    <dxf>
      <fill>
        <patternFill patternType="solid">
          <bgColor theme="9" tint="0.59999389629810485"/>
        </patternFill>
      </fill>
    </dxf>
    <dxf>
      <fill>
        <patternFill patternType="solid">
          <bgColor theme="9" tint="0.59999389629810485"/>
        </patternFill>
      </fill>
    </dxf>
    <dxf>
      <fill>
        <patternFill patternType="solid">
          <bgColor theme="9" tint="0.59999389629810485"/>
        </patternFill>
      </fill>
    </dxf>
  </dxfs>
  <tableStyles count="0" defaultTableStyle="TableStyleMedium2" defaultPivotStyle="PivotStyleLight16"/>
  <colors>
    <mruColors>
      <color rgb="FFFF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zh-CN" sz="1400" b="1" i="0" u="none" strike="noStrike" kern="1200" cap="none" spc="50" baseline="0">
                <a:solidFill>
                  <a:schemeClr val="lt1">
                    <a:lumMod val="85000"/>
                  </a:schemeClr>
                </a:solidFill>
                <a:latin typeface="新宋体" panose="02010609030101010101" pitchFamily="49" charset="-122"/>
                <a:ea typeface="新宋体" panose="02010609030101010101" pitchFamily="49" charset="-122"/>
                <a:cs typeface="+mn-cs"/>
              </a:defRPr>
            </a:pPr>
            <a:r>
              <a:rPr lang="zh-CN" b="1">
                <a:latin typeface="新宋体" panose="02010609030101010101" pitchFamily="49" charset="-122"/>
                <a:ea typeface="新宋体" panose="02010609030101010101" pitchFamily="49" charset="-122"/>
              </a:rPr>
              <a:t>角色属性</a:t>
            </a:r>
          </a:p>
        </c:rich>
      </c:tx>
      <c:layout>
        <c:manualLayout>
          <c:xMode val="edge"/>
          <c:yMode val="edge"/>
          <c:x val="3.0864197530864199E-2"/>
          <c:y val="2.5445292620865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zh-CN" sz="1400" b="1" i="0" u="none" strike="noStrike" kern="1200" cap="none" spc="50" baseline="0">
              <a:solidFill>
                <a:schemeClr val="lt1">
                  <a:lumMod val="85000"/>
                </a:schemeClr>
              </a:solidFill>
              <a:latin typeface="新宋体" panose="02010609030101010101" pitchFamily="49" charset="-122"/>
              <a:ea typeface="新宋体" panose="02010609030101010101" pitchFamily="49" charset="-122"/>
              <a:cs typeface="+mn-cs"/>
            </a:defRPr>
          </a:pPr>
          <a:endParaRPr lang="zh-CN"/>
        </a:p>
      </c:txPr>
    </c:title>
    <c:autoTitleDeleted val="0"/>
    <c:plotArea>
      <c:layout/>
      <c:radarChart>
        <c:radarStyle val="marker"/>
        <c:varyColors val="0"/>
        <c:ser>
          <c:idx val="0"/>
          <c:order val="0"/>
          <c:spPr>
            <a:ln w="28575" cap="rnd">
              <a:solidFill>
                <a:schemeClr val="bg1"/>
              </a:solidFill>
            </a:ln>
            <a:effectLst>
              <a:glow rad="76200">
                <a:schemeClr val="bg1">
                  <a:alpha val="34000"/>
                </a:schemeClr>
              </a:glow>
            </a:effectLst>
          </c:spPr>
          <c:marker>
            <c:symbol val="circle"/>
            <c:size val="4"/>
            <c:spPr>
              <a:solidFill>
                <a:schemeClr val="accent1">
                  <a:lumMod val="60000"/>
                  <a:lumOff val="40000"/>
                </a:schemeClr>
              </a:solidFill>
              <a:ln>
                <a:noFill/>
              </a:ln>
              <a:effectLst>
                <a:glow rad="76200">
                  <a:schemeClr val="bg1">
                    <a:alpha val="34000"/>
                  </a:schemeClr>
                </a:glow>
              </a:effectLst>
            </c:spPr>
          </c:marker>
          <c:dPt>
            <c:idx val="0"/>
            <c:marker>
              <c:symbol val="circle"/>
              <c:size val="4"/>
              <c:spPr>
                <a:solidFill>
                  <a:srgbClr val="FF0000"/>
                </a:solidFill>
                <a:ln>
                  <a:noFill/>
                </a:ln>
                <a:effectLst>
                  <a:glow rad="76200">
                    <a:schemeClr val="bg1">
                      <a:alpha val="34000"/>
                    </a:schemeClr>
                  </a:glow>
                </a:effectLst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0-0DCB-43C4-98CD-11EC8FD74D25}"/>
              </c:ext>
            </c:extLst>
          </c:dPt>
          <c:dPt>
            <c:idx val="1"/>
            <c:marker>
              <c:symbol val="circle"/>
              <c:size val="4"/>
              <c:spPr>
                <a:solidFill>
                  <a:srgbClr val="FF66FF"/>
                </a:solidFill>
                <a:ln>
                  <a:noFill/>
                </a:ln>
                <a:effectLst>
                  <a:glow rad="76200">
                    <a:schemeClr val="bg1">
                      <a:alpha val="34000"/>
                    </a:schemeClr>
                  </a:glow>
                </a:effectLst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1-0DCB-43C4-98CD-11EC8FD74D25}"/>
              </c:ext>
            </c:extLst>
          </c:dPt>
          <c:dPt>
            <c:idx val="2"/>
            <c:marker>
              <c:symbol val="circle"/>
              <c:size val="4"/>
              <c:spPr>
                <a:solidFill>
                  <a:srgbClr val="92D050"/>
                </a:solidFill>
                <a:ln>
                  <a:noFill/>
                </a:ln>
                <a:effectLst>
                  <a:glow rad="76200">
                    <a:schemeClr val="bg1">
                      <a:alpha val="34000"/>
                    </a:schemeClr>
                  </a:glow>
                </a:effectLst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2-0DCB-43C4-98CD-11EC8FD74D25}"/>
              </c:ext>
            </c:extLst>
          </c:dPt>
          <c:dPt>
            <c:idx val="3"/>
            <c:marker>
              <c:symbol val="circle"/>
              <c:size val="4"/>
              <c:spPr>
                <a:solidFill>
                  <a:srgbClr val="7030A0"/>
                </a:solidFill>
                <a:ln>
                  <a:noFill/>
                </a:ln>
                <a:effectLst>
                  <a:glow rad="76200">
                    <a:schemeClr val="bg1">
                      <a:alpha val="34000"/>
                    </a:schemeClr>
                  </a:glow>
                </a:effectLst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3-0DCB-43C4-98CD-11EC8FD74D25}"/>
              </c:ext>
            </c:extLst>
          </c:dPt>
          <c:dPt>
            <c:idx val="4"/>
            <c:marker>
              <c:symbol val="circle"/>
              <c:size val="4"/>
              <c:spPr>
                <a:solidFill>
                  <a:srgbClr val="FFC000"/>
                </a:solidFill>
                <a:ln>
                  <a:noFill/>
                </a:ln>
                <a:effectLst>
                  <a:glow rad="76200">
                    <a:schemeClr val="bg1">
                      <a:alpha val="34000"/>
                    </a:schemeClr>
                  </a:glow>
                </a:effectLst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4-0DCB-43C4-98CD-11EC8FD74D25}"/>
              </c:ext>
            </c:extLst>
          </c:dPt>
          <c:dPt>
            <c:idx val="5"/>
            <c:marker>
              <c:symbol val="circle"/>
              <c:size val="4"/>
              <c:spPr>
                <a:solidFill>
                  <a:srgbClr val="0070C0"/>
                </a:solidFill>
                <a:ln>
                  <a:noFill/>
                </a:ln>
                <a:effectLst>
                  <a:glow rad="76200">
                    <a:schemeClr val="bg1">
                      <a:alpha val="34000"/>
                    </a:schemeClr>
                  </a:glow>
                </a:effectLst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5-0DCB-43C4-98CD-11EC8FD74D25}"/>
              </c:ext>
            </c:extLst>
          </c:dPt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0">
                  <a:spAutoFit/>
                </a:bodyPr>
                <a:lstStyle/>
                <a:p>
                  <a:pPr>
                    <a:defRPr lang="zh-CN" sz="1200" b="0" i="0" u="none" strike="noStrike" kern="1200" baseline="0">
                      <a:solidFill>
                        <a:schemeClr val="lt1">
                          <a:lumMod val="75000"/>
                        </a:schemeClr>
                      </a:solidFill>
                      <a:effectLst>
                        <a:glow rad="63500">
                          <a:srgbClr val="FF0000">
                            <a:alpha val="50000"/>
                          </a:srgbClr>
                        </a:glow>
                      </a:effectLst>
                      <a:latin typeface="新宋体" panose="02010609030101010101" pitchFamily="49" charset="-122"/>
                      <a:ea typeface="新宋体" panose="02010609030101010101" pitchFamily="49" charset="-122"/>
                      <a:cs typeface="经典粗圆简" panose="02010609000101010101" pitchFamily="49" charset="-122"/>
                    </a:defRPr>
                  </a:pPr>
                  <a:endParaRPr lang="zh-CN"/>
                </a:p>
              </c:txPr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DCB-43C4-98CD-11EC8FD74D25}"/>
                </c:ext>
              </c:extLst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0">
                  <a:spAutoFit/>
                </a:bodyPr>
                <a:lstStyle/>
                <a:p>
                  <a:pPr>
                    <a:defRPr lang="zh-CN" sz="1200" b="0" i="0" u="none" strike="noStrike" kern="1200" baseline="0">
                      <a:solidFill>
                        <a:schemeClr val="lt1">
                          <a:lumMod val="75000"/>
                        </a:schemeClr>
                      </a:solidFill>
                      <a:effectLst>
                        <a:glow rad="63500">
                          <a:srgbClr val="FF66FF">
                            <a:alpha val="50000"/>
                          </a:srgbClr>
                        </a:glow>
                      </a:effectLst>
                      <a:latin typeface="新宋体" panose="02010609030101010101" pitchFamily="49" charset="-122"/>
                      <a:ea typeface="新宋体" panose="02010609030101010101" pitchFamily="49" charset="-122"/>
                      <a:cs typeface="经典粗圆简" panose="02010609000101010101" pitchFamily="49" charset="-122"/>
                    </a:defRPr>
                  </a:pPr>
                  <a:endParaRPr lang="zh-CN"/>
                </a:p>
              </c:txPr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DCB-43C4-98CD-11EC8FD74D25}"/>
                </c:ext>
              </c:extLst>
            </c:dLbl>
            <c:dLbl>
              <c:idx val="2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0">
                  <a:spAutoFit/>
                </a:bodyPr>
                <a:lstStyle/>
                <a:p>
                  <a:pPr>
                    <a:defRPr lang="zh-CN" sz="1200" b="0" i="0" u="none" strike="noStrike" kern="1200" baseline="0">
                      <a:solidFill>
                        <a:schemeClr val="lt1">
                          <a:lumMod val="75000"/>
                        </a:schemeClr>
                      </a:solidFill>
                      <a:effectLst>
                        <a:glow rad="63500">
                          <a:srgbClr val="92D050">
                            <a:alpha val="50000"/>
                          </a:srgbClr>
                        </a:glow>
                      </a:effectLst>
                      <a:latin typeface="新宋体" panose="02010609030101010101" pitchFamily="49" charset="-122"/>
                      <a:ea typeface="新宋体" panose="02010609030101010101" pitchFamily="49" charset="-122"/>
                      <a:cs typeface="经典粗圆简" panose="02010609000101010101" pitchFamily="49" charset="-122"/>
                    </a:defRPr>
                  </a:pPr>
                  <a:endParaRPr lang="zh-CN"/>
                </a:p>
              </c:txPr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0DCB-43C4-98CD-11EC8FD74D25}"/>
                </c:ext>
              </c:extLst>
            </c:dLbl>
            <c:dLbl>
              <c:idx val="3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0">
                  <a:spAutoFit/>
                </a:bodyPr>
                <a:lstStyle/>
                <a:p>
                  <a:pPr>
                    <a:defRPr lang="zh-CN" sz="1200" b="0" i="0" u="none" strike="noStrike" kern="1200" baseline="0">
                      <a:solidFill>
                        <a:schemeClr val="lt1">
                          <a:lumMod val="75000"/>
                        </a:schemeClr>
                      </a:solidFill>
                      <a:effectLst>
                        <a:glow rad="63500">
                          <a:srgbClr val="7030A0">
                            <a:alpha val="50000"/>
                          </a:srgbClr>
                        </a:glow>
                      </a:effectLst>
                      <a:latin typeface="新宋体" panose="02010609030101010101" pitchFamily="49" charset="-122"/>
                      <a:ea typeface="新宋体" panose="02010609030101010101" pitchFamily="49" charset="-122"/>
                      <a:cs typeface="经典粗圆简" panose="02010609000101010101" pitchFamily="49" charset="-122"/>
                    </a:defRPr>
                  </a:pPr>
                  <a:endParaRPr lang="zh-CN"/>
                </a:p>
              </c:txPr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DCB-43C4-98CD-11EC8FD74D25}"/>
                </c:ext>
              </c:extLst>
            </c:dLbl>
            <c:dLbl>
              <c:idx val="4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0">
                  <a:spAutoFit/>
                </a:bodyPr>
                <a:lstStyle/>
                <a:p>
                  <a:pPr>
                    <a:defRPr lang="zh-CN" sz="1200" b="0" i="0" u="none" strike="noStrike" kern="1200" baseline="0">
                      <a:solidFill>
                        <a:schemeClr val="lt1">
                          <a:lumMod val="75000"/>
                        </a:schemeClr>
                      </a:solidFill>
                      <a:effectLst>
                        <a:glow rad="63500">
                          <a:schemeClr val="accent4">
                            <a:lumMod val="60000"/>
                            <a:lumOff val="40000"/>
                            <a:alpha val="50000"/>
                          </a:schemeClr>
                        </a:glow>
                      </a:effectLst>
                      <a:latin typeface="新宋体" panose="02010609030101010101" pitchFamily="49" charset="-122"/>
                      <a:ea typeface="新宋体" panose="02010609030101010101" pitchFamily="49" charset="-122"/>
                      <a:cs typeface="经典粗圆简" panose="02010609000101010101" pitchFamily="49" charset="-122"/>
                    </a:defRPr>
                  </a:pPr>
                  <a:endParaRPr lang="zh-CN"/>
                </a:p>
              </c:txPr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0DCB-43C4-98CD-11EC8FD74D25}"/>
                </c:ext>
              </c:extLst>
            </c:dLbl>
            <c:dLbl>
              <c:idx val="5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0">
                  <a:spAutoFit/>
                </a:bodyPr>
                <a:lstStyle/>
                <a:p>
                  <a:pPr>
                    <a:defRPr lang="zh-CN" sz="1200" b="0" i="0" u="none" strike="noStrike" kern="1200" baseline="0">
                      <a:solidFill>
                        <a:schemeClr val="lt1">
                          <a:lumMod val="75000"/>
                        </a:schemeClr>
                      </a:solidFill>
                      <a:effectLst>
                        <a:glow rad="63500">
                          <a:srgbClr val="0070C0">
                            <a:alpha val="50000"/>
                          </a:srgbClr>
                        </a:glow>
                      </a:effectLst>
                      <a:latin typeface="新宋体" panose="02010609030101010101" pitchFamily="49" charset="-122"/>
                      <a:ea typeface="新宋体" panose="02010609030101010101" pitchFamily="49" charset="-122"/>
                      <a:cs typeface="经典粗圆简" panose="02010609000101010101" pitchFamily="49" charset="-122"/>
                    </a:defRPr>
                  </a:pPr>
                  <a:endParaRPr lang="zh-CN"/>
                </a:p>
              </c:txPr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DCB-43C4-98CD-11EC8FD74D25}"/>
                </c:ext>
              </c:extLst>
            </c:dLbl>
            <c:spPr>
              <a:solidFill>
                <a:sysClr val="windowText" lastClr="000000">
                  <a:lumMod val="75000"/>
                  <a:lumOff val="25000"/>
                </a:sysClr>
              </a:solidFill>
              <a:ln>
                <a:solidFill>
                  <a:sysClr val="window" lastClr="FFFFFF">
                    <a:lumMod val="75000"/>
                  </a:sysClr>
                </a:solidFill>
              </a:ln>
              <a:effectLst>
                <a:glow rad="63500">
                  <a:sysClr val="window" lastClr="FFFFFF">
                    <a:lumMod val="75000"/>
                    <a:alpha val="15000"/>
                  </a:sysClr>
                </a:glow>
              </a:effectLst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lang="zh-CN" sz="1200" b="0" i="0" u="none" strike="noStrike" kern="1200" baseline="0">
                    <a:solidFill>
                      <a:schemeClr val="lt1">
                        <a:lumMod val="75000"/>
                      </a:schemeClr>
                    </a:solidFill>
                    <a:latin typeface="新宋体" panose="02010609030101010101" pitchFamily="49" charset="-122"/>
                    <a:ea typeface="新宋体" panose="02010609030101010101" pitchFamily="49" charset="-122"/>
                    <a:cs typeface="经典粗圆简" panose="02010609000101010101" pitchFamily="49" charset="-122"/>
                  </a:defRPr>
                </a:pPr>
                <a:endParaRPr lang="zh-CN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eparator>
</c:separator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  <c15:showLeaderLines val="0"/>
              </c:ext>
            </c:extLst>
          </c:dLbls>
          <c:cat>
            <c:strRef>
              <c:f>总表!$A$29:$A$34</c:f>
              <c:strCache>
                <c:ptCount val="6"/>
                <c:pt idx="0">
                  <c:v>力量</c:v>
                </c:pt>
                <c:pt idx="1">
                  <c:v>魅力</c:v>
                </c:pt>
                <c:pt idx="2">
                  <c:v>敏捷</c:v>
                </c:pt>
                <c:pt idx="3">
                  <c:v>魔力</c:v>
                </c:pt>
                <c:pt idx="4">
                  <c:v>体质</c:v>
                </c:pt>
                <c:pt idx="5">
                  <c:v>智力</c:v>
                </c:pt>
              </c:strCache>
            </c:strRef>
          </c:cat>
          <c:val>
            <c:numRef>
              <c:f>总表!$B$29:$B$34</c:f>
              <c:numCache>
                <c:formatCode>General</c:formatCode>
                <c:ptCount val="6"/>
                <c:pt idx="0">
                  <c:v>50</c:v>
                </c:pt>
                <c:pt idx="1">
                  <c:v>40</c:v>
                </c:pt>
                <c:pt idx="2">
                  <c:v>50</c:v>
                </c:pt>
                <c:pt idx="3">
                  <c:v>30</c:v>
                </c:pt>
                <c:pt idx="4">
                  <c:v>40</c:v>
                </c:pt>
                <c:pt idx="5">
                  <c:v>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0DCB-43C4-98CD-11EC8FD74D2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76151408"/>
        <c:axId val="1376151888"/>
      </c:radarChart>
      <c:catAx>
        <c:axId val="1376151408"/>
        <c:scaling>
          <c:orientation val="minMax"/>
        </c:scaling>
        <c:delete val="1"/>
        <c:axPos val="b"/>
        <c:majorGridlines>
          <c:spPr>
            <a:ln w="9525" cap="flat" cmpd="sng" algn="ctr">
              <a:solidFill>
                <a:schemeClr val="lt1">
                  <a:alpha val="2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crossAx val="1376151888"/>
        <c:crosses val="autoZero"/>
        <c:auto val="1"/>
        <c:lblAlgn val="ctr"/>
        <c:lblOffset val="100"/>
        <c:noMultiLvlLbl val="0"/>
      </c:catAx>
      <c:valAx>
        <c:axId val="1376151888"/>
        <c:scaling>
          <c:orientation val="minMax"/>
          <c:max val="100"/>
        </c:scaling>
        <c:delete val="1"/>
        <c:axPos val="l"/>
        <c:majorGridlines>
          <c:spPr>
            <a:ln w="9525" cap="flat" cmpd="sng" algn="ctr">
              <a:solidFill>
                <a:sysClr val="window" lastClr="FFFFFF">
                  <a:lumMod val="75000"/>
                  <a:alpha val="20000"/>
                </a:sysClr>
              </a:solidFill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extTo"/>
        <c:crossAx val="13761514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dk1">
        <a:lumMod val="75000"/>
        <a:lumOff val="25000"/>
      </a:schemeClr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 lang="zh-CN"/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zh-CN"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新宋体" panose="02010609030101010101" pitchFamily="49" charset="-122"/>
                <a:ea typeface="新宋体" panose="02010609030101010101" pitchFamily="49" charset="-122"/>
                <a:cs typeface="+mn-cs"/>
              </a:defRPr>
            </a:pPr>
            <a:r>
              <a:rPr lang="zh-CN" altLang="en-US">
                <a:latin typeface="新宋体" panose="02010609030101010101" pitchFamily="49" charset="-122"/>
                <a:ea typeface="新宋体" panose="02010609030101010101" pitchFamily="49" charset="-122"/>
              </a:rPr>
              <a:t>泛用技能熟练度</a:t>
            </a:r>
          </a:p>
        </c:rich>
      </c:tx>
      <c:layout>
        <c:manualLayout>
          <c:xMode val="edge"/>
          <c:yMode val="edge"/>
          <c:x val="2.3289665211062599E-2"/>
          <c:y val="1.396648044692739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zh-CN"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新宋体" panose="02010609030101010101" pitchFamily="49" charset="-122"/>
              <a:ea typeface="新宋体" panose="02010609030101010101" pitchFamily="49" charset="-122"/>
              <a:cs typeface="+mn-cs"/>
            </a:defRPr>
          </a:pPr>
          <a:endParaRPr lang="zh-CN"/>
        </a:p>
      </c:txPr>
    </c:title>
    <c:autoTitleDeleted val="0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各种技能!$C$3</c:f>
              <c:strCache>
                <c:ptCount val="1"/>
                <c:pt idx="0">
                  <c:v>属性值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E2B1-4337-893E-604EDE2111C0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E2B1-4337-893E-604EDE2111C0}"/>
              </c:ext>
            </c:extLst>
          </c:dPt>
          <c:dPt>
            <c:idx val="2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E2B1-4337-893E-604EDE2111C0}"/>
              </c:ext>
            </c:extLst>
          </c:dPt>
          <c:dPt>
            <c:idx val="4"/>
            <c:invertIfNegative val="0"/>
            <c:bubble3D val="0"/>
            <c:spPr>
              <a:solidFill>
                <a:srgbClr val="00B05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E2B1-4337-893E-604EDE2111C0}"/>
              </c:ext>
            </c:extLst>
          </c:dPt>
          <c:dPt>
            <c:idx val="5"/>
            <c:invertIfNegative val="0"/>
            <c:bubble3D val="0"/>
            <c:spPr>
              <a:solidFill>
                <a:srgbClr val="FF66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E2B1-4337-893E-604EDE2111C0}"/>
              </c:ext>
            </c:extLst>
          </c:dPt>
          <c:dPt>
            <c:idx val="7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B-E2B1-4337-893E-604EDE2111C0}"/>
              </c:ext>
            </c:extLst>
          </c:dPt>
          <c:dPt>
            <c:idx val="8"/>
            <c:invertIfNegative val="0"/>
            <c:bubble3D val="0"/>
            <c:spPr>
              <a:solidFill>
                <a:srgbClr val="FF66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D-E2B1-4337-893E-604EDE2111C0}"/>
              </c:ext>
            </c:extLst>
          </c:dPt>
          <c:dPt>
            <c:idx val="11"/>
            <c:invertIfNegative val="0"/>
            <c:bubble3D val="0"/>
            <c:spPr>
              <a:solidFill>
                <a:srgbClr val="00B05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F-E2B1-4337-893E-604EDE2111C0}"/>
              </c:ext>
            </c:extLst>
          </c:dPt>
          <c:dPt>
            <c:idx val="12"/>
            <c:invertIfNegative val="0"/>
            <c:bubble3D val="0"/>
            <c:spPr>
              <a:solidFill>
                <a:srgbClr val="7030A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1-E2B1-4337-893E-604EDE2111C0}"/>
              </c:ext>
            </c:extLst>
          </c:dPt>
          <c:dPt>
            <c:idx val="13"/>
            <c:invertIfNegative val="0"/>
            <c:bubble3D val="0"/>
            <c:spPr>
              <a:solidFill>
                <a:srgbClr val="7030A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3-E2B1-4337-893E-604EDE2111C0}"/>
              </c:ext>
            </c:extLst>
          </c:dPt>
          <c:dPt>
            <c:idx val="15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5-E2B1-4337-893E-604EDE2111C0}"/>
              </c:ext>
            </c:extLst>
          </c:dPt>
          <c:dPt>
            <c:idx val="16"/>
            <c:invertIfNegative val="0"/>
            <c:bubble3D val="0"/>
            <c:spPr>
              <a:solidFill>
                <a:srgbClr val="00B05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7-E2B1-4337-893E-604EDE2111C0}"/>
              </c:ext>
            </c:extLst>
          </c:dPt>
          <c:dPt>
            <c:idx val="18"/>
            <c:invertIfNegative val="0"/>
            <c:bubble3D val="0"/>
            <c:spPr>
              <a:solidFill>
                <a:srgbClr val="00B05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9-E2B1-4337-893E-604EDE2111C0}"/>
              </c:ext>
            </c:extLst>
          </c:dPt>
          <c:dPt>
            <c:idx val="19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B-E2B1-4337-893E-604EDE2111C0}"/>
              </c:ext>
            </c:extLst>
          </c:dPt>
          <c:dPt>
            <c:idx val="20"/>
            <c:invertIfNegative val="0"/>
            <c:bubble3D val="0"/>
            <c:spPr>
              <a:solidFill>
                <a:srgbClr val="FF66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D-E2B1-4337-893E-604EDE2111C0}"/>
              </c:ext>
            </c:extLst>
          </c:dPt>
          <c:dPt>
            <c:idx val="22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F-E2B1-4337-893E-604EDE2111C0}"/>
              </c:ext>
            </c:extLst>
          </c:dPt>
          <c:dPt>
            <c:idx val="27"/>
            <c:invertIfNegative val="0"/>
            <c:bubble3D val="0"/>
            <c:spPr>
              <a:solidFill>
                <a:srgbClr val="00B05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1-E2B1-4337-893E-604EDE2111C0}"/>
              </c:ext>
            </c:extLst>
          </c:dPt>
          <c:dLbls>
            <c:dLbl>
              <c:idx val="0"/>
              <c:tx>
                <c:rich>
                  <a:bodyPr/>
                  <a:lstStyle/>
                  <a:p>
                    <a:fld id="{C86A68B4-6135-40DE-9099-4667B6977F9B}" type="CELLRANGE">
                      <a:rPr lang="zh-CN" altLang="en-US"/>
                      <a:pPr/>
                      <a:t>[CELLRANGE]</a:t>
                    </a:fld>
                    <a:r>
                      <a:rPr lang="zh-CN" altLang="en-US"/>
                      <a:t> </a:t>
                    </a:r>
                    <a:fld id="{9B6E46BF-DBE5-47DD-A57B-3DA80AD1D410}" type="VALUE">
                      <a:rPr lang="en-US" altLang="zh-CN"/>
                      <a:pPr/>
                      <a:t>[值]</a:t>
                    </a:fld>
                    <a:endParaRPr lang="zh-CN" altLang="en-US"/>
                  </a:p>
                </c:rich>
              </c:tx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1-E2B1-4337-893E-604EDE2111C0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B6AD96D0-40A1-4FF6-ABE4-DD9EC0B3087A}" type="CELLRANGE">
                      <a:rPr lang="zh-CN" altLang="en-US"/>
                      <a:pPr/>
                      <a:t>[CELLRANGE]</a:t>
                    </a:fld>
                    <a:r>
                      <a:rPr lang="zh-CN" altLang="en-US"/>
                      <a:t> </a:t>
                    </a:r>
                    <a:fld id="{121B01F3-971F-4A14-BA05-925C14BF833F}" type="VALUE">
                      <a:rPr lang="en-US" altLang="zh-CN"/>
                      <a:pPr/>
                      <a:t>[值]</a:t>
                    </a:fld>
                    <a:endParaRPr lang="zh-CN" altLang="en-US"/>
                  </a:p>
                </c:rich>
              </c:tx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3-E2B1-4337-893E-604EDE2111C0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07E4CE7E-AA84-4972-BD33-955BB09A92AF}" type="CELLRANGE">
                      <a:rPr lang="zh-CN" altLang="en-US"/>
                      <a:pPr/>
                      <a:t>[CELLRANGE]</a:t>
                    </a:fld>
                    <a:r>
                      <a:rPr lang="zh-CN" altLang="en-US"/>
                      <a:t> </a:t>
                    </a:r>
                    <a:fld id="{3FE58A89-0E0F-47C5-9415-3C8F67D251F6}" type="VALUE">
                      <a:rPr lang="en-US" altLang="zh-CN"/>
                      <a:pPr/>
                      <a:t>[值]</a:t>
                    </a:fld>
                    <a:endParaRPr lang="zh-CN" altLang="en-US"/>
                  </a:p>
                </c:rich>
              </c:tx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5-E2B1-4337-893E-604EDE2111C0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endParaRPr lang="zh-CN" altLang="en-US"/>
                  </a:p>
                </c:rich>
              </c:tx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showDataLabelsRange val="1"/>
                </c:ext>
                <c:ext xmlns:c16="http://schemas.microsoft.com/office/drawing/2014/chart" uri="{C3380CC4-5D6E-409C-BE32-E72D297353CC}">
                  <c16:uniqueId val="{00000022-E2B1-4337-893E-604EDE2111C0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03193DC2-B51B-4908-92E8-09B9FEC00769}" type="CELLRANGE">
                      <a:rPr lang="zh-CN" altLang="en-US"/>
                      <a:pPr/>
                      <a:t>[CELLRANGE]</a:t>
                    </a:fld>
                    <a:r>
                      <a:rPr lang="zh-CN" altLang="en-US"/>
                      <a:t> </a:t>
                    </a:r>
                    <a:fld id="{18FCD3F4-2914-44B8-8057-4A6183B3C24A}" type="VALUE">
                      <a:rPr lang="en-US" altLang="zh-CN"/>
                      <a:pPr/>
                      <a:t>[值]</a:t>
                    </a:fld>
                    <a:endParaRPr lang="zh-CN" altLang="en-US"/>
                  </a:p>
                </c:rich>
              </c:tx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7-E2B1-4337-893E-604EDE2111C0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9C61A227-80D3-46ED-A892-D42360148D32}" type="CELLRANGE">
                      <a:rPr lang="zh-CN" altLang="en-US"/>
                      <a:pPr/>
                      <a:t>[CELLRANGE]</a:t>
                    </a:fld>
                    <a:r>
                      <a:rPr lang="zh-CN" altLang="en-US"/>
                      <a:t> </a:t>
                    </a:r>
                    <a:fld id="{BF229560-8848-4CFB-BD82-BDACB2C6447D}" type="VALUE">
                      <a:rPr lang="en-US" altLang="zh-CN"/>
                      <a:pPr/>
                      <a:t>[值]</a:t>
                    </a:fld>
                    <a:endParaRPr lang="zh-CN" altLang="en-US"/>
                  </a:p>
                </c:rich>
              </c:tx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9-E2B1-4337-893E-604EDE2111C0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52A5A90D-21A9-45BB-9274-92C7AE7345FF}" type="CELLRANGE">
                      <a:rPr lang="zh-CN" altLang="en-US"/>
                      <a:pPr/>
                      <a:t>[CELLRANGE]</a:t>
                    </a:fld>
                    <a:r>
                      <a:rPr lang="zh-CN" altLang="en-US"/>
                      <a:t> </a:t>
                    </a:r>
                    <a:fld id="{F51ABF67-B1EA-4F04-AE11-7AAC9D509540}" type="VALUE">
                      <a:rPr lang="en-US" altLang="zh-CN"/>
                      <a:pPr/>
                      <a:t>[值]</a:t>
                    </a:fld>
                    <a:endParaRPr lang="zh-CN" altLang="en-US"/>
                  </a:p>
                </c:rich>
              </c:tx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23-E2B1-4337-893E-604EDE2111C0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fld id="{C6F66F31-F66E-4FE3-B4D6-261E574FF916}" type="CELLRANGE">
                      <a:rPr lang="zh-CN" altLang="en-US"/>
                      <a:pPr/>
                      <a:t>[CELLRANGE]</a:t>
                    </a:fld>
                    <a:r>
                      <a:rPr lang="zh-CN" altLang="en-US"/>
                      <a:t> </a:t>
                    </a:r>
                    <a:fld id="{14A781FE-7E7B-42C8-8ADE-8524D201424F}" type="VALUE">
                      <a:rPr lang="en-US" altLang="zh-CN"/>
                      <a:pPr/>
                      <a:t>[值]</a:t>
                    </a:fld>
                    <a:endParaRPr lang="zh-CN" altLang="en-US"/>
                  </a:p>
                </c:rich>
              </c:tx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B-E2B1-4337-893E-604EDE2111C0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fld id="{D4CC2D64-F3AE-46C3-BE35-369F35C14BD7}" type="CELLRANGE">
                      <a:rPr lang="zh-CN" altLang="en-US"/>
                      <a:pPr/>
                      <a:t>[CELLRANGE]</a:t>
                    </a:fld>
                    <a:r>
                      <a:rPr lang="zh-CN" altLang="en-US"/>
                      <a:t> </a:t>
                    </a:r>
                    <a:fld id="{423CC39D-3BD4-4BDF-9EB3-2487AA818F5A}" type="VALUE">
                      <a:rPr lang="en-US" altLang="zh-CN"/>
                      <a:pPr/>
                      <a:t>[值]</a:t>
                    </a:fld>
                    <a:endParaRPr lang="zh-CN" altLang="en-US"/>
                  </a:p>
                </c:rich>
              </c:tx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D-E2B1-4337-893E-604EDE2111C0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endParaRPr lang="zh-CN" altLang="en-US"/>
                  </a:p>
                </c:rich>
              </c:tx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4-E2B1-4337-893E-604EDE2111C0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fld id="{766C213F-EB6F-4881-83BE-73C310CE8F17}" type="CELLRANGE">
                      <a:rPr lang="zh-CN" altLang="en-US"/>
                      <a:pPr/>
                      <a:t>[CELLRANGE]</a:t>
                    </a:fld>
                    <a:r>
                      <a:rPr lang="zh-CN" altLang="en-US"/>
                      <a:t> </a:t>
                    </a:r>
                    <a:fld id="{E47E4E40-7E7E-4135-A9AE-876B3D446C1D}" type="VALUE">
                      <a:rPr lang="en-US" altLang="zh-CN"/>
                      <a:pPr/>
                      <a:t>[值]</a:t>
                    </a:fld>
                    <a:endParaRPr lang="zh-CN" altLang="en-US"/>
                  </a:p>
                </c:rich>
              </c:tx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25-E2B1-4337-893E-604EDE2111C0}"/>
                </c:ext>
              </c:extLst>
            </c:dLbl>
            <c:dLbl>
              <c:idx val="11"/>
              <c:tx>
                <c:rich>
                  <a:bodyPr/>
                  <a:lstStyle/>
                  <a:p>
                    <a:fld id="{21B500C9-059B-443B-8368-764F6E493FC8}" type="CELLRANGE">
                      <a:rPr lang="zh-CN" altLang="en-US"/>
                      <a:pPr/>
                      <a:t>[CELLRANGE]</a:t>
                    </a:fld>
                    <a:r>
                      <a:rPr lang="zh-CN" altLang="en-US"/>
                      <a:t> </a:t>
                    </a:r>
                    <a:fld id="{48AB6E2F-7BC0-416E-A968-5BA197E9ECF8}" type="VALUE">
                      <a:rPr lang="en-US" altLang="zh-CN"/>
                      <a:pPr/>
                      <a:t>[值]</a:t>
                    </a:fld>
                    <a:endParaRPr lang="zh-CN" altLang="en-US"/>
                  </a:p>
                </c:rich>
              </c:tx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F-E2B1-4337-893E-604EDE2111C0}"/>
                </c:ext>
              </c:extLst>
            </c:dLbl>
            <c:dLbl>
              <c:idx val="12"/>
              <c:tx>
                <c:rich>
                  <a:bodyPr/>
                  <a:lstStyle/>
                  <a:p>
                    <a:fld id="{8D99EC26-E153-40BD-9BB3-90A3A9A36B80}" type="CELLRANGE">
                      <a:rPr lang="zh-CN" altLang="en-US"/>
                      <a:pPr/>
                      <a:t>[CELLRANGE]</a:t>
                    </a:fld>
                    <a:r>
                      <a:rPr lang="zh-CN" altLang="en-US"/>
                      <a:t> </a:t>
                    </a:r>
                    <a:fld id="{26511C92-DE23-448C-A3A4-5443FA747596}" type="VALUE">
                      <a:rPr lang="en-US" altLang="zh-CN"/>
                      <a:pPr/>
                      <a:t>[值]</a:t>
                    </a:fld>
                    <a:endParaRPr lang="zh-CN" altLang="en-US"/>
                  </a:p>
                </c:rich>
              </c:tx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11-E2B1-4337-893E-604EDE2111C0}"/>
                </c:ext>
              </c:extLst>
            </c:dLbl>
            <c:dLbl>
              <c:idx val="13"/>
              <c:tx>
                <c:rich>
                  <a:bodyPr/>
                  <a:lstStyle/>
                  <a:p>
                    <a:fld id="{C566AE72-539D-49E7-89C5-4D52CDFD9636}" type="CELLRANGE">
                      <a:rPr lang="zh-CN" altLang="en-US"/>
                      <a:pPr/>
                      <a:t>[CELLRANGE]</a:t>
                    </a:fld>
                    <a:r>
                      <a:rPr lang="zh-CN" altLang="en-US"/>
                      <a:t> </a:t>
                    </a:r>
                    <a:fld id="{F127655D-4D71-4386-9A68-9042EED013C0}" type="VALUE">
                      <a:rPr lang="en-US" altLang="zh-CN"/>
                      <a:pPr/>
                      <a:t>[值]</a:t>
                    </a:fld>
                    <a:endParaRPr lang="zh-CN" altLang="en-US"/>
                  </a:p>
                </c:rich>
              </c:tx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13-E2B1-4337-893E-604EDE2111C0}"/>
                </c:ext>
              </c:extLst>
            </c:dLbl>
            <c:dLbl>
              <c:idx val="14"/>
              <c:tx>
                <c:rich>
                  <a:bodyPr/>
                  <a:lstStyle/>
                  <a:p>
                    <a:endParaRPr lang="zh-CN" altLang="en-US"/>
                  </a:p>
                </c:rich>
              </c:tx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6-E2B1-4337-893E-604EDE2111C0}"/>
                </c:ext>
              </c:extLst>
            </c:dLbl>
            <c:dLbl>
              <c:idx val="15"/>
              <c:tx>
                <c:rich>
                  <a:bodyPr/>
                  <a:lstStyle/>
                  <a:p>
                    <a:fld id="{2231FD69-41BC-45FE-89E7-04DD66D99B90}" type="CELLRANGE">
                      <a:rPr lang="zh-CN" altLang="en-US"/>
                      <a:pPr/>
                      <a:t>[CELLRANGE]</a:t>
                    </a:fld>
                    <a:r>
                      <a:rPr lang="zh-CN" altLang="en-US"/>
                      <a:t> </a:t>
                    </a:r>
                    <a:fld id="{5AB5754E-6870-469B-9CD2-BB82E7EBCC70}" type="VALUE">
                      <a:rPr lang="en-US" altLang="zh-CN"/>
                      <a:pPr/>
                      <a:t>[值]</a:t>
                    </a:fld>
                    <a:endParaRPr lang="zh-CN" altLang="en-US"/>
                  </a:p>
                </c:rich>
              </c:tx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15-E2B1-4337-893E-604EDE2111C0}"/>
                </c:ext>
              </c:extLst>
            </c:dLbl>
            <c:dLbl>
              <c:idx val="16"/>
              <c:tx>
                <c:rich>
                  <a:bodyPr/>
                  <a:lstStyle/>
                  <a:p>
                    <a:fld id="{7D859BC9-6050-4B9E-AD84-71105038363C}" type="CELLRANGE">
                      <a:rPr lang="zh-CN" altLang="en-US"/>
                      <a:pPr/>
                      <a:t>[CELLRANGE]</a:t>
                    </a:fld>
                    <a:r>
                      <a:rPr lang="zh-CN" altLang="en-US"/>
                      <a:t> </a:t>
                    </a:r>
                    <a:fld id="{4D346974-4C9E-4C77-B373-BB5BCB40BC08}" type="VALUE">
                      <a:rPr lang="en-US" altLang="zh-CN"/>
                      <a:pPr/>
                      <a:t>[值]</a:t>
                    </a:fld>
                    <a:endParaRPr lang="zh-CN" altLang="en-US"/>
                  </a:p>
                </c:rich>
              </c:tx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17-E2B1-4337-893E-604EDE2111C0}"/>
                </c:ext>
              </c:extLst>
            </c:dLbl>
            <c:dLbl>
              <c:idx val="17"/>
              <c:tx>
                <c:rich>
                  <a:bodyPr/>
                  <a:lstStyle/>
                  <a:p>
                    <a:fld id="{4CC49425-ACF9-46D4-A4EA-623D03D1B9CF}" type="CELLRANGE">
                      <a:rPr lang="zh-CN" altLang="en-US"/>
                      <a:pPr/>
                      <a:t>[CELLRANGE]</a:t>
                    </a:fld>
                    <a:r>
                      <a:rPr lang="zh-CN" altLang="en-US"/>
                      <a:t> </a:t>
                    </a:r>
                    <a:fld id="{79AC15C7-3150-4F86-9A19-76CEF8801529}" type="VALUE">
                      <a:rPr lang="en-US" altLang="zh-CN"/>
                      <a:pPr/>
                      <a:t>[值]</a:t>
                    </a:fld>
                    <a:endParaRPr lang="zh-CN" altLang="en-US"/>
                  </a:p>
                </c:rich>
              </c:tx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27-E2B1-4337-893E-604EDE2111C0}"/>
                </c:ext>
              </c:extLst>
            </c:dLbl>
            <c:dLbl>
              <c:idx val="18"/>
              <c:tx>
                <c:rich>
                  <a:bodyPr/>
                  <a:lstStyle/>
                  <a:p>
                    <a:fld id="{B89338EE-AF36-4E48-A470-E92BAE346946}" type="CELLRANGE">
                      <a:rPr lang="zh-CN" altLang="en-US"/>
                      <a:pPr/>
                      <a:t>[CELLRANGE]</a:t>
                    </a:fld>
                    <a:r>
                      <a:rPr lang="zh-CN" altLang="en-US"/>
                      <a:t> </a:t>
                    </a:r>
                    <a:fld id="{13E1BE08-9223-4FE4-8EFE-246A84AD94F5}" type="VALUE">
                      <a:rPr lang="en-US" altLang="zh-CN"/>
                      <a:pPr/>
                      <a:t>[值]</a:t>
                    </a:fld>
                    <a:endParaRPr lang="zh-CN" altLang="en-US"/>
                  </a:p>
                </c:rich>
              </c:tx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19-E2B1-4337-893E-604EDE2111C0}"/>
                </c:ext>
              </c:extLst>
            </c:dLbl>
            <c:dLbl>
              <c:idx val="19"/>
              <c:tx>
                <c:rich>
                  <a:bodyPr/>
                  <a:lstStyle/>
                  <a:p>
                    <a:fld id="{CF9B6EED-AAC4-429C-9471-0765696A4F80}" type="CELLRANGE">
                      <a:rPr lang="zh-CN" altLang="en-US"/>
                      <a:pPr/>
                      <a:t>[CELLRANGE]</a:t>
                    </a:fld>
                    <a:r>
                      <a:rPr lang="zh-CN" altLang="en-US"/>
                      <a:t> </a:t>
                    </a:r>
                    <a:fld id="{2EB0AC3F-77A7-4E0A-8E6E-2F9CF91F2CE6}" type="VALUE">
                      <a:rPr lang="en-US" altLang="zh-CN"/>
                      <a:pPr/>
                      <a:t>[值]</a:t>
                    </a:fld>
                    <a:endParaRPr lang="zh-CN" altLang="en-US"/>
                  </a:p>
                </c:rich>
              </c:tx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1B-E2B1-4337-893E-604EDE2111C0}"/>
                </c:ext>
              </c:extLst>
            </c:dLbl>
            <c:dLbl>
              <c:idx val="20"/>
              <c:tx>
                <c:rich>
                  <a:bodyPr/>
                  <a:lstStyle/>
                  <a:p>
                    <a:fld id="{2A741EF0-1A9D-4DA4-B54B-FAAED0B54E3F}" type="CELLRANGE">
                      <a:rPr lang="zh-CN" altLang="en-US"/>
                      <a:pPr/>
                      <a:t>[CELLRANGE]</a:t>
                    </a:fld>
                    <a:r>
                      <a:rPr lang="zh-CN" altLang="en-US"/>
                      <a:t> </a:t>
                    </a:r>
                    <a:fld id="{87D8AD5F-882E-4C23-A80C-B9A17631189A}" type="VALUE">
                      <a:rPr lang="en-US" altLang="zh-CN"/>
                      <a:pPr/>
                      <a:t>[值]</a:t>
                    </a:fld>
                    <a:endParaRPr lang="zh-CN" altLang="en-US"/>
                  </a:p>
                </c:rich>
              </c:tx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1D-E2B1-4337-893E-604EDE2111C0}"/>
                </c:ext>
              </c:extLst>
            </c:dLbl>
            <c:dLbl>
              <c:idx val="21"/>
              <c:tx>
                <c:rich>
                  <a:bodyPr/>
                  <a:lstStyle/>
                  <a:p>
                    <a:endParaRPr lang="zh-CN" altLang="en-US"/>
                  </a:p>
                </c:rich>
              </c:tx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8-E2B1-4337-893E-604EDE2111C0}"/>
                </c:ext>
              </c:extLst>
            </c:dLbl>
            <c:dLbl>
              <c:idx val="22"/>
              <c:tx>
                <c:rich>
                  <a:bodyPr/>
                  <a:lstStyle/>
                  <a:p>
                    <a:fld id="{A380EDC4-C59E-4B77-B91F-A700CEF68740}" type="CELLRANGE">
                      <a:rPr lang="zh-CN" altLang="en-US"/>
                      <a:pPr/>
                      <a:t>[CELLRANGE]</a:t>
                    </a:fld>
                    <a:r>
                      <a:rPr lang="zh-CN" altLang="en-US"/>
                      <a:t> </a:t>
                    </a:r>
                    <a:fld id="{47BD724C-4AE0-4A5A-B1B7-0452E2CC8CC4}" type="VALUE">
                      <a:rPr lang="en-US" altLang="zh-CN"/>
                      <a:pPr/>
                      <a:t>[值]</a:t>
                    </a:fld>
                    <a:endParaRPr lang="zh-CN" altLang="en-US"/>
                  </a:p>
                </c:rich>
              </c:tx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1F-E2B1-4337-893E-604EDE2111C0}"/>
                </c:ext>
              </c:extLst>
            </c:dLbl>
            <c:dLbl>
              <c:idx val="23"/>
              <c:tx>
                <c:rich>
                  <a:bodyPr/>
                  <a:lstStyle/>
                  <a:p>
                    <a:fld id="{9177D30F-8028-46D3-BF53-041DA17F9A48}" type="CELLRANGE">
                      <a:rPr lang="zh-CN" altLang="en-US"/>
                      <a:pPr/>
                      <a:t>[CELLRANGE]</a:t>
                    </a:fld>
                    <a:r>
                      <a:rPr lang="zh-CN" altLang="en-US"/>
                      <a:t> </a:t>
                    </a:r>
                    <a:fld id="{9B02CFFC-BC08-4A90-8455-E31D5F6DB2B5}" type="VALUE">
                      <a:rPr lang="en-US" altLang="zh-CN"/>
                      <a:pPr/>
                      <a:t>[值]</a:t>
                    </a:fld>
                    <a:endParaRPr lang="zh-CN" altLang="en-US"/>
                  </a:p>
                </c:rich>
              </c:tx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29-E2B1-4337-893E-604EDE2111C0}"/>
                </c:ext>
              </c:extLst>
            </c:dLbl>
            <c:dLbl>
              <c:idx val="24"/>
              <c:tx>
                <c:rich>
                  <a:bodyPr/>
                  <a:lstStyle/>
                  <a:p>
                    <a:fld id="{F2FEC148-C130-4BEB-9C14-A36BAED2766A}" type="CELLRANGE">
                      <a:rPr lang="zh-CN" altLang="en-US"/>
                      <a:pPr/>
                      <a:t>[CELLRANGE]</a:t>
                    </a:fld>
                    <a:r>
                      <a:rPr lang="zh-CN" altLang="en-US"/>
                      <a:t> </a:t>
                    </a:r>
                    <a:fld id="{4AC3622F-95C3-4D21-80CC-92CED2E65896}" type="VALUE">
                      <a:rPr lang="en-US" altLang="zh-CN"/>
                      <a:pPr/>
                      <a:t>[值]</a:t>
                    </a:fld>
                    <a:endParaRPr lang="zh-CN" altLang="en-US"/>
                  </a:p>
                </c:rich>
              </c:tx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2A-E2B1-4337-893E-604EDE2111C0}"/>
                </c:ext>
              </c:extLst>
            </c:dLbl>
            <c:dLbl>
              <c:idx val="25"/>
              <c:tx>
                <c:rich>
                  <a:bodyPr/>
                  <a:lstStyle/>
                  <a:p>
                    <a:endParaRPr lang="zh-CN" altLang="en-US"/>
                  </a:p>
                </c:rich>
              </c:tx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B-E2B1-4337-893E-604EDE2111C0}"/>
                </c:ext>
              </c:extLst>
            </c:dLbl>
            <c:dLbl>
              <c:idx val="26"/>
              <c:tx>
                <c:rich>
                  <a:bodyPr/>
                  <a:lstStyle/>
                  <a:p>
                    <a:fld id="{634DD6F8-5FFC-49C4-99CA-B754C295E84F}" type="CELLRANGE">
                      <a:rPr lang="zh-CN" altLang="en-US"/>
                      <a:pPr/>
                      <a:t>[CELLRANGE]</a:t>
                    </a:fld>
                    <a:r>
                      <a:rPr lang="zh-CN" altLang="en-US"/>
                      <a:t> </a:t>
                    </a:r>
                    <a:fld id="{988DBE72-1C16-488C-9EB7-3D43744019F7}" type="VALUE">
                      <a:rPr lang="en-US" altLang="zh-CN"/>
                      <a:pPr/>
                      <a:t>[值]</a:t>
                    </a:fld>
                    <a:endParaRPr lang="zh-CN" altLang="en-US"/>
                  </a:p>
                </c:rich>
              </c:tx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2C-E2B1-4337-893E-604EDE2111C0}"/>
                </c:ext>
              </c:extLst>
            </c:dLbl>
            <c:dLbl>
              <c:idx val="27"/>
              <c:tx>
                <c:rich>
                  <a:bodyPr/>
                  <a:lstStyle/>
                  <a:p>
                    <a:fld id="{D9DCDBD7-EA12-48BD-82DA-74BE8C781D9E}" type="CELLRANGE">
                      <a:rPr lang="zh-CN" altLang="en-US"/>
                      <a:pPr/>
                      <a:t>[CELLRANGE]</a:t>
                    </a:fld>
                    <a:r>
                      <a:rPr lang="zh-CN" altLang="en-US"/>
                      <a:t> </a:t>
                    </a:r>
                    <a:fld id="{97FB4FA6-A604-4C47-80E3-28A1AF682575}" type="VALUE">
                      <a:rPr lang="en-US" altLang="zh-CN"/>
                      <a:pPr/>
                      <a:t>[值]</a:t>
                    </a:fld>
                    <a:endParaRPr lang="zh-CN" altLang="en-US"/>
                  </a:p>
                </c:rich>
              </c:tx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21-E2B1-4337-893E-604EDE2111C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zh-CN" sz="1000" b="0" i="0" u="none" strike="noStrike" kern="1200" baseline="0">
                    <a:ln w="6350">
                      <a:solidFill>
                        <a:schemeClr val="tx1">
                          <a:alpha val="50000"/>
                        </a:schemeClr>
                      </a:solidFill>
                    </a:ln>
                    <a:solidFill>
                      <a:schemeClr val="tx1"/>
                    </a:solidFill>
                    <a:latin typeface="新宋体" panose="02010609030101010101" pitchFamily="49" charset="-122"/>
                    <a:ea typeface="新宋体" panose="02010609030101010101" pitchFamily="49" charset="-122"/>
                    <a:cs typeface="+mn-cs"/>
                  </a:defRPr>
                </a:pPr>
                <a:endParaRPr lang="zh-CN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eparator> </c:separator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各种技能!$A$5:$A$32</c:f>
              <c:strCache>
                <c:ptCount val="28"/>
                <c:pt idx="0">
                  <c:v>防御</c:v>
                </c:pt>
                <c:pt idx="1">
                  <c:v>搬运</c:v>
                </c:pt>
                <c:pt idx="2">
                  <c:v>缴械</c:v>
                </c:pt>
                <c:pt idx="3">
                  <c:v>敏捷</c:v>
                </c:pt>
                <c:pt idx="4">
                  <c:v>闪避</c:v>
                </c:pt>
                <c:pt idx="5">
                  <c:v>妙手</c:v>
                </c:pt>
                <c:pt idx="6">
                  <c:v>潜行</c:v>
                </c:pt>
                <c:pt idx="7">
                  <c:v>侦查</c:v>
                </c:pt>
                <c:pt idx="8">
                  <c:v>感知</c:v>
                </c:pt>
                <c:pt idx="9">
                  <c:v>体质</c:v>
                </c:pt>
                <c:pt idx="10">
                  <c:v>抵抗</c:v>
                </c:pt>
                <c:pt idx="11">
                  <c:v>攀爬</c:v>
                </c:pt>
                <c:pt idx="12">
                  <c:v>水性</c:v>
                </c:pt>
                <c:pt idx="13">
                  <c:v>跳跃</c:v>
                </c:pt>
                <c:pt idx="14">
                  <c:v>智力</c:v>
                </c:pt>
                <c:pt idx="15">
                  <c:v>见闻</c:v>
                </c:pt>
                <c:pt idx="16">
                  <c:v>战术</c:v>
                </c:pt>
                <c:pt idx="17">
                  <c:v>心理学</c:v>
                </c:pt>
                <c:pt idx="18">
                  <c:v>灵感</c:v>
                </c:pt>
                <c:pt idx="19">
                  <c:v>学习</c:v>
                </c:pt>
                <c:pt idx="20">
                  <c:v>乔装</c:v>
                </c:pt>
                <c:pt idx="21">
                  <c:v>魅力</c:v>
                </c:pt>
                <c:pt idx="22">
                  <c:v>恐吓</c:v>
                </c:pt>
                <c:pt idx="23">
                  <c:v>说服</c:v>
                </c:pt>
                <c:pt idx="24">
                  <c:v>哄骗</c:v>
                </c:pt>
                <c:pt idx="25">
                  <c:v>魔力</c:v>
                </c:pt>
                <c:pt idx="26">
                  <c:v>魔法感知</c:v>
                </c:pt>
                <c:pt idx="27">
                  <c:v>魔法抗性</c:v>
                </c:pt>
              </c:strCache>
            </c:strRef>
          </c:cat>
          <c:val>
            <c:numRef>
              <c:f>各种技能!$C$5:$C$32</c:f>
              <c:numCache>
                <c:formatCode>General</c:formatCode>
                <c:ptCount val="28"/>
                <c:pt idx="0">
                  <c:v>50</c:v>
                </c:pt>
                <c:pt idx="1">
                  <c:v>50</c:v>
                </c:pt>
                <c:pt idx="2">
                  <c:v>50</c:v>
                </c:pt>
                <c:pt idx="4">
                  <c:v>50</c:v>
                </c:pt>
                <c:pt idx="5">
                  <c:v>50</c:v>
                </c:pt>
                <c:pt idx="6">
                  <c:v>50</c:v>
                </c:pt>
                <c:pt idx="7">
                  <c:v>50</c:v>
                </c:pt>
                <c:pt idx="8">
                  <c:v>50</c:v>
                </c:pt>
                <c:pt idx="10">
                  <c:v>40</c:v>
                </c:pt>
                <c:pt idx="11">
                  <c:v>40</c:v>
                </c:pt>
                <c:pt idx="12">
                  <c:v>40</c:v>
                </c:pt>
                <c:pt idx="13">
                  <c:v>40</c:v>
                </c:pt>
                <c:pt idx="15">
                  <c:v>30</c:v>
                </c:pt>
                <c:pt idx="16">
                  <c:v>30</c:v>
                </c:pt>
                <c:pt idx="17">
                  <c:v>30</c:v>
                </c:pt>
                <c:pt idx="18">
                  <c:v>30</c:v>
                </c:pt>
                <c:pt idx="19">
                  <c:v>30</c:v>
                </c:pt>
                <c:pt idx="20">
                  <c:v>30</c:v>
                </c:pt>
                <c:pt idx="22">
                  <c:v>40</c:v>
                </c:pt>
                <c:pt idx="23">
                  <c:v>40</c:v>
                </c:pt>
                <c:pt idx="24">
                  <c:v>40</c:v>
                </c:pt>
                <c:pt idx="26">
                  <c:v>30</c:v>
                </c:pt>
                <c:pt idx="27">
                  <c:v>30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各种技能!$B$5:$B$32</c15:f>
                <c15:dlblRangeCache>
                  <c:ptCount val="28"/>
                  <c:pt idx="0">
                    <c:v>力量</c:v>
                  </c:pt>
                  <c:pt idx="1">
                    <c:v>力量</c:v>
                  </c:pt>
                  <c:pt idx="2">
                    <c:v>力量</c:v>
                  </c:pt>
                  <c:pt idx="4">
                    <c:v>敏捷</c:v>
                  </c:pt>
                  <c:pt idx="5">
                    <c:v>敏捷</c:v>
                  </c:pt>
                  <c:pt idx="6">
                    <c:v>敏捷</c:v>
                  </c:pt>
                  <c:pt idx="7">
                    <c:v>敏捷</c:v>
                  </c:pt>
                  <c:pt idx="8">
                    <c:v>敏捷</c:v>
                  </c:pt>
                  <c:pt idx="10">
                    <c:v>体质</c:v>
                  </c:pt>
                  <c:pt idx="11">
                    <c:v>体质</c:v>
                  </c:pt>
                  <c:pt idx="12">
                    <c:v>体质</c:v>
                  </c:pt>
                  <c:pt idx="13">
                    <c:v>体质</c:v>
                  </c:pt>
                  <c:pt idx="15">
                    <c:v>智力</c:v>
                  </c:pt>
                  <c:pt idx="16">
                    <c:v>智力</c:v>
                  </c:pt>
                  <c:pt idx="17">
                    <c:v>智力</c:v>
                  </c:pt>
                  <c:pt idx="18">
                    <c:v>智力</c:v>
                  </c:pt>
                  <c:pt idx="19">
                    <c:v>智力</c:v>
                  </c:pt>
                  <c:pt idx="20">
                    <c:v>智力</c:v>
                  </c:pt>
                  <c:pt idx="22">
                    <c:v>魅力</c:v>
                  </c:pt>
                  <c:pt idx="23">
                    <c:v>魅力</c:v>
                  </c:pt>
                  <c:pt idx="24">
                    <c:v>魅力</c:v>
                  </c:pt>
                  <c:pt idx="26">
                    <c:v>魔力</c:v>
                  </c:pt>
                  <c:pt idx="27">
                    <c:v>魔力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2D-E2B1-4337-893E-604EDE2111C0}"/>
            </c:ext>
          </c:extLst>
        </c:ser>
        <c:ser>
          <c:idx val="1"/>
          <c:order val="1"/>
          <c:tx>
            <c:strRef>
              <c:f>各种技能!$D$3</c:f>
              <c:strCache>
                <c:ptCount val="1"/>
                <c:pt idx="0">
                  <c:v>熟练度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zh-CN"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zh-CN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各种技能!$A$5:$A$32</c:f>
              <c:strCache>
                <c:ptCount val="28"/>
                <c:pt idx="0">
                  <c:v>防御</c:v>
                </c:pt>
                <c:pt idx="1">
                  <c:v>搬运</c:v>
                </c:pt>
                <c:pt idx="2">
                  <c:v>缴械</c:v>
                </c:pt>
                <c:pt idx="3">
                  <c:v>敏捷</c:v>
                </c:pt>
                <c:pt idx="4">
                  <c:v>闪避</c:v>
                </c:pt>
                <c:pt idx="5">
                  <c:v>妙手</c:v>
                </c:pt>
                <c:pt idx="6">
                  <c:v>潜行</c:v>
                </c:pt>
                <c:pt idx="7">
                  <c:v>侦查</c:v>
                </c:pt>
                <c:pt idx="8">
                  <c:v>感知</c:v>
                </c:pt>
                <c:pt idx="9">
                  <c:v>体质</c:v>
                </c:pt>
                <c:pt idx="10">
                  <c:v>抵抗</c:v>
                </c:pt>
                <c:pt idx="11">
                  <c:v>攀爬</c:v>
                </c:pt>
                <c:pt idx="12">
                  <c:v>水性</c:v>
                </c:pt>
                <c:pt idx="13">
                  <c:v>跳跃</c:v>
                </c:pt>
                <c:pt idx="14">
                  <c:v>智力</c:v>
                </c:pt>
                <c:pt idx="15">
                  <c:v>见闻</c:v>
                </c:pt>
                <c:pt idx="16">
                  <c:v>战术</c:v>
                </c:pt>
                <c:pt idx="17">
                  <c:v>心理学</c:v>
                </c:pt>
                <c:pt idx="18">
                  <c:v>灵感</c:v>
                </c:pt>
                <c:pt idx="19">
                  <c:v>学习</c:v>
                </c:pt>
                <c:pt idx="20">
                  <c:v>乔装</c:v>
                </c:pt>
                <c:pt idx="21">
                  <c:v>魅力</c:v>
                </c:pt>
                <c:pt idx="22">
                  <c:v>恐吓</c:v>
                </c:pt>
                <c:pt idx="23">
                  <c:v>说服</c:v>
                </c:pt>
                <c:pt idx="24">
                  <c:v>哄骗</c:v>
                </c:pt>
                <c:pt idx="25">
                  <c:v>魔力</c:v>
                </c:pt>
                <c:pt idx="26">
                  <c:v>魔法感知</c:v>
                </c:pt>
                <c:pt idx="27">
                  <c:v>魔法抗性</c:v>
                </c:pt>
              </c:strCache>
            </c:strRef>
          </c:cat>
          <c:val>
            <c:numRef>
              <c:f>各种技能!$D$5:$D$32</c:f>
              <c:numCache>
                <c:formatCode>General</c:formatCode>
                <c:ptCount val="28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6">
                  <c:v>1</c:v>
                </c:pt>
                <c:pt idx="27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E-E2B1-4337-893E-604EDE2111C0}"/>
            </c:ext>
          </c:extLst>
        </c:ser>
        <c:ser>
          <c:idx val="2"/>
          <c:order val="2"/>
          <c:tx>
            <c:strRef>
              <c:f>各种技能!$E$3</c:f>
              <c:strCache>
                <c:ptCount val="1"/>
                <c:pt idx="0">
                  <c:v>职业加成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zh-CN"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zh-CN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各种技能!$A$5:$A$32</c:f>
              <c:strCache>
                <c:ptCount val="28"/>
                <c:pt idx="0">
                  <c:v>防御</c:v>
                </c:pt>
                <c:pt idx="1">
                  <c:v>搬运</c:v>
                </c:pt>
                <c:pt idx="2">
                  <c:v>缴械</c:v>
                </c:pt>
                <c:pt idx="3">
                  <c:v>敏捷</c:v>
                </c:pt>
                <c:pt idx="4">
                  <c:v>闪避</c:v>
                </c:pt>
                <c:pt idx="5">
                  <c:v>妙手</c:v>
                </c:pt>
                <c:pt idx="6">
                  <c:v>潜行</c:v>
                </c:pt>
                <c:pt idx="7">
                  <c:v>侦查</c:v>
                </c:pt>
                <c:pt idx="8">
                  <c:v>感知</c:v>
                </c:pt>
                <c:pt idx="9">
                  <c:v>体质</c:v>
                </c:pt>
                <c:pt idx="10">
                  <c:v>抵抗</c:v>
                </c:pt>
                <c:pt idx="11">
                  <c:v>攀爬</c:v>
                </c:pt>
                <c:pt idx="12">
                  <c:v>水性</c:v>
                </c:pt>
                <c:pt idx="13">
                  <c:v>跳跃</c:v>
                </c:pt>
                <c:pt idx="14">
                  <c:v>智力</c:v>
                </c:pt>
                <c:pt idx="15">
                  <c:v>见闻</c:v>
                </c:pt>
                <c:pt idx="16">
                  <c:v>战术</c:v>
                </c:pt>
                <c:pt idx="17">
                  <c:v>心理学</c:v>
                </c:pt>
                <c:pt idx="18">
                  <c:v>灵感</c:v>
                </c:pt>
                <c:pt idx="19">
                  <c:v>学习</c:v>
                </c:pt>
                <c:pt idx="20">
                  <c:v>乔装</c:v>
                </c:pt>
                <c:pt idx="21">
                  <c:v>魅力</c:v>
                </c:pt>
                <c:pt idx="22">
                  <c:v>恐吓</c:v>
                </c:pt>
                <c:pt idx="23">
                  <c:v>说服</c:v>
                </c:pt>
                <c:pt idx="24">
                  <c:v>哄骗</c:v>
                </c:pt>
                <c:pt idx="25">
                  <c:v>魔力</c:v>
                </c:pt>
                <c:pt idx="26">
                  <c:v>魔法感知</c:v>
                </c:pt>
                <c:pt idx="27">
                  <c:v>魔法抗性</c:v>
                </c:pt>
              </c:strCache>
            </c:strRef>
          </c:cat>
          <c:val>
            <c:numRef>
              <c:f>各种技能!$E$5:$E$32</c:f>
              <c:numCache>
                <c:formatCode>General</c:formatCode>
                <c:ptCount val="28"/>
              </c:numCache>
            </c:numRef>
          </c:val>
          <c:extLst>
            <c:ext xmlns:c16="http://schemas.microsoft.com/office/drawing/2014/chart" uri="{C3380CC4-5D6E-409C-BE32-E72D297353CC}">
              <c16:uniqueId val="{0000002F-E2B1-4337-893E-604EDE2111C0}"/>
            </c:ext>
          </c:extLst>
        </c:ser>
        <c:ser>
          <c:idx val="3"/>
          <c:order val="3"/>
          <c:tx>
            <c:strRef>
              <c:f>各种技能!$F$3</c:f>
              <c:strCache>
                <c:ptCount val="1"/>
                <c:pt idx="0">
                  <c:v>社群加成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zh-CN"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zh-CN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各种技能!$A$5:$A$32</c:f>
              <c:strCache>
                <c:ptCount val="28"/>
                <c:pt idx="0">
                  <c:v>防御</c:v>
                </c:pt>
                <c:pt idx="1">
                  <c:v>搬运</c:v>
                </c:pt>
                <c:pt idx="2">
                  <c:v>缴械</c:v>
                </c:pt>
                <c:pt idx="3">
                  <c:v>敏捷</c:v>
                </c:pt>
                <c:pt idx="4">
                  <c:v>闪避</c:v>
                </c:pt>
                <c:pt idx="5">
                  <c:v>妙手</c:v>
                </c:pt>
                <c:pt idx="6">
                  <c:v>潜行</c:v>
                </c:pt>
                <c:pt idx="7">
                  <c:v>侦查</c:v>
                </c:pt>
                <c:pt idx="8">
                  <c:v>感知</c:v>
                </c:pt>
                <c:pt idx="9">
                  <c:v>体质</c:v>
                </c:pt>
                <c:pt idx="10">
                  <c:v>抵抗</c:v>
                </c:pt>
                <c:pt idx="11">
                  <c:v>攀爬</c:v>
                </c:pt>
                <c:pt idx="12">
                  <c:v>水性</c:v>
                </c:pt>
                <c:pt idx="13">
                  <c:v>跳跃</c:v>
                </c:pt>
                <c:pt idx="14">
                  <c:v>智力</c:v>
                </c:pt>
                <c:pt idx="15">
                  <c:v>见闻</c:v>
                </c:pt>
                <c:pt idx="16">
                  <c:v>战术</c:v>
                </c:pt>
                <c:pt idx="17">
                  <c:v>心理学</c:v>
                </c:pt>
                <c:pt idx="18">
                  <c:v>灵感</c:v>
                </c:pt>
                <c:pt idx="19">
                  <c:v>学习</c:v>
                </c:pt>
                <c:pt idx="20">
                  <c:v>乔装</c:v>
                </c:pt>
                <c:pt idx="21">
                  <c:v>魅力</c:v>
                </c:pt>
                <c:pt idx="22">
                  <c:v>恐吓</c:v>
                </c:pt>
                <c:pt idx="23">
                  <c:v>说服</c:v>
                </c:pt>
                <c:pt idx="24">
                  <c:v>哄骗</c:v>
                </c:pt>
                <c:pt idx="25">
                  <c:v>魔力</c:v>
                </c:pt>
                <c:pt idx="26">
                  <c:v>魔法感知</c:v>
                </c:pt>
                <c:pt idx="27">
                  <c:v>魔法抗性</c:v>
                </c:pt>
              </c:strCache>
            </c:strRef>
          </c:cat>
          <c:val>
            <c:numRef>
              <c:f>各种技能!$F$5:$F$32</c:f>
              <c:numCache>
                <c:formatCode>General</c:formatCode>
                <c:ptCount val="28"/>
              </c:numCache>
            </c:numRef>
          </c:val>
          <c:extLst>
            <c:ext xmlns:c16="http://schemas.microsoft.com/office/drawing/2014/chart" uri="{C3380CC4-5D6E-409C-BE32-E72D297353CC}">
              <c16:uniqueId val="{00000030-E2B1-4337-893E-604EDE2111C0}"/>
            </c:ext>
          </c:extLst>
        </c:ser>
        <c:ser>
          <c:idx val="4"/>
          <c:order val="4"/>
          <c:tx>
            <c:strRef>
              <c:f>各种技能!$G$3</c:f>
              <c:strCache>
                <c:ptCount val="1"/>
                <c:pt idx="0">
                  <c:v>总阈值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zh-CN" sz="12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zh-CN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各种技能!$A$5:$A$32</c:f>
              <c:strCache>
                <c:ptCount val="28"/>
                <c:pt idx="0">
                  <c:v>防御</c:v>
                </c:pt>
                <c:pt idx="1">
                  <c:v>搬运</c:v>
                </c:pt>
                <c:pt idx="2">
                  <c:v>缴械</c:v>
                </c:pt>
                <c:pt idx="3">
                  <c:v>敏捷</c:v>
                </c:pt>
                <c:pt idx="4">
                  <c:v>闪避</c:v>
                </c:pt>
                <c:pt idx="5">
                  <c:v>妙手</c:v>
                </c:pt>
                <c:pt idx="6">
                  <c:v>潜行</c:v>
                </c:pt>
                <c:pt idx="7">
                  <c:v>侦查</c:v>
                </c:pt>
                <c:pt idx="8">
                  <c:v>感知</c:v>
                </c:pt>
                <c:pt idx="9">
                  <c:v>体质</c:v>
                </c:pt>
                <c:pt idx="10">
                  <c:v>抵抗</c:v>
                </c:pt>
                <c:pt idx="11">
                  <c:v>攀爬</c:v>
                </c:pt>
                <c:pt idx="12">
                  <c:v>水性</c:v>
                </c:pt>
                <c:pt idx="13">
                  <c:v>跳跃</c:v>
                </c:pt>
                <c:pt idx="14">
                  <c:v>智力</c:v>
                </c:pt>
                <c:pt idx="15">
                  <c:v>见闻</c:v>
                </c:pt>
                <c:pt idx="16">
                  <c:v>战术</c:v>
                </c:pt>
                <c:pt idx="17">
                  <c:v>心理学</c:v>
                </c:pt>
                <c:pt idx="18">
                  <c:v>灵感</c:v>
                </c:pt>
                <c:pt idx="19">
                  <c:v>学习</c:v>
                </c:pt>
                <c:pt idx="20">
                  <c:v>乔装</c:v>
                </c:pt>
                <c:pt idx="21">
                  <c:v>魅力</c:v>
                </c:pt>
                <c:pt idx="22">
                  <c:v>恐吓</c:v>
                </c:pt>
                <c:pt idx="23">
                  <c:v>说服</c:v>
                </c:pt>
                <c:pt idx="24">
                  <c:v>哄骗</c:v>
                </c:pt>
                <c:pt idx="25">
                  <c:v>魔力</c:v>
                </c:pt>
                <c:pt idx="26">
                  <c:v>魔法感知</c:v>
                </c:pt>
                <c:pt idx="27">
                  <c:v>魔法抗性</c:v>
                </c:pt>
              </c:strCache>
            </c:strRef>
          </c:cat>
          <c:val>
            <c:numRef>
              <c:f>各种技能!$G$5:$G$32</c:f>
              <c:numCache>
                <c:formatCode>0_ </c:formatCode>
                <c:ptCount val="28"/>
                <c:pt idx="0">
                  <c:v>50.7</c:v>
                </c:pt>
                <c:pt idx="1">
                  <c:v>50.7</c:v>
                </c:pt>
                <c:pt idx="2">
                  <c:v>50.7</c:v>
                </c:pt>
                <c:pt idx="4">
                  <c:v>50.7</c:v>
                </c:pt>
                <c:pt idx="5">
                  <c:v>50.7</c:v>
                </c:pt>
                <c:pt idx="6">
                  <c:v>50.7</c:v>
                </c:pt>
                <c:pt idx="7">
                  <c:v>50.7</c:v>
                </c:pt>
                <c:pt idx="8">
                  <c:v>50.7</c:v>
                </c:pt>
                <c:pt idx="10">
                  <c:v>41</c:v>
                </c:pt>
                <c:pt idx="11">
                  <c:v>41</c:v>
                </c:pt>
                <c:pt idx="12">
                  <c:v>41</c:v>
                </c:pt>
                <c:pt idx="13">
                  <c:v>41</c:v>
                </c:pt>
                <c:pt idx="15">
                  <c:v>31</c:v>
                </c:pt>
                <c:pt idx="16">
                  <c:v>31</c:v>
                </c:pt>
                <c:pt idx="17">
                  <c:v>31</c:v>
                </c:pt>
                <c:pt idx="18">
                  <c:v>31</c:v>
                </c:pt>
                <c:pt idx="19">
                  <c:v>31</c:v>
                </c:pt>
                <c:pt idx="20">
                  <c:v>31</c:v>
                </c:pt>
                <c:pt idx="22">
                  <c:v>41</c:v>
                </c:pt>
                <c:pt idx="23">
                  <c:v>41</c:v>
                </c:pt>
                <c:pt idx="24">
                  <c:v>41</c:v>
                </c:pt>
                <c:pt idx="26">
                  <c:v>31</c:v>
                </c:pt>
                <c:pt idx="27">
                  <c:v>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1-E2B1-4337-893E-604EDE2111C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875766112"/>
        <c:axId val="875756512"/>
      </c:barChart>
      <c:catAx>
        <c:axId val="87576611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875756512"/>
        <c:crosses val="autoZero"/>
        <c:auto val="1"/>
        <c:lblAlgn val="ctr"/>
        <c:lblOffset val="100"/>
        <c:noMultiLvlLbl val="0"/>
      </c:catAx>
      <c:valAx>
        <c:axId val="875756512"/>
        <c:scaling>
          <c:orientation val="minMax"/>
          <c:max val="15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875766112"/>
        <c:crosses val="autoZero"/>
        <c:crossBetween val="between"/>
        <c:majorUnit val="10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zh-CN"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CN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zh-CN"/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zh-CN"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新宋体" panose="02010609030101010101" pitchFamily="49" charset="-122"/>
                <a:ea typeface="新宋体" panose="02010609030101010101" pitchFamily="49" charset="-122"/>
                <a:cs typeface="+mn-cs"/>
              </a:defRPr>
            </a:pPr>
            <a:r>
              <a:rPr lang="zh-CN" altLang="en-US">
                <a:latin typeface="新宋体" panose="02010609030101010101" pitchFamily="49" charset="-122"/>
                <a:ea typeface="新宋体" panose="02010609030101010101" pitchFamily="49" charset="-122"/>
              </a:rPr>
              <a:t>武器熟练度</a:t>
            </a:r>
          </a:p>
        </c:rich>
      </c:tx>
      <c:layout>
        <c:manualLayout>
          <c:xMode val="edge"/>
          <c:yMode val="edge"/>
          <c:x val="2.6928675400291101E-2"/>
          <c:y val="1.396648044692739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zh-CN"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新宋体" panose="02010609030101010101" pitchFamily="49" charset="-122"/>
              <a:ea typeface="新宋体" panose="02010609030101010101" pitchFamily="49" charset="-122"/>
              <a:cs typeface="+mn-cs"/>
            </a:defRPr>
          </a:pPr>
          <a:endParaRPr lang="zh-CN"/>
        </a:p>
      </c:txPr>
    </c:title>
    <c:autoTitleDeleted val="0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各种技能!$N$3</c:f>
              <c:strCache>
                <c:ptCount val="1"/>
                <c:pt idx="0">
                  <c:v>属性值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dPt>
            <c:idx val="1"/>
            <c:invertIfNegative val="0"/>
            <c:bubble3D val="0"/>
            <c:spPr>
              <a:solidFill>
                <a:srgbClr val="00B05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28C9-4A08-8DFA-74CC7D39ECAD}"/>
              </c:ext>
            </c:extLst>
          </c:dPt>
          <c:dPt>
            <c:idx val="4"/>
            <c:invertIfNegative val="0"/>
            <c:bubble3D val="0"/>
            <c:spPr>
              <a:solidFill>
                <a:srgbClr val="00B05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28C9-4A08-8DFA-74CC7D39ECAD}"/>
              </c:ext>
            </c:extLst>
          </c:dPt>
          <c:dPt>
            <c:idx val="6"/>
            <c:invertIfNegative val="0"/>
            <c:bubble3D val="0"/>
            <c:spPr>
              <a:solidFill>
                <a:srgbClr val="00B05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28C9-4A08-8DFA-74CC7D39ECAD}"/>
              </c:ext>
            </c:extLst>
          </c:dPt>
          <c:dPt>
            <c:idx val="8"/>
            <c:invertIfNegative val="0"/>
            <c:bubble3D val="0"/>
            <c:spPr>
              <a:solidFill>
                <a:srgbClr val="00B05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28C9-4A08-8DFA-74CC7D39ECAD}"/>
              </c:ext>
            </c:extLst>
          </c:dPt>
          <c:dPt>
            <c:idx val="14"/>
            <c:invertIfNegative val="0"/>
            <c:bubble3D val="0"/>
            <c:spPr>
              <a:solidFill>
                <a:srgbClr val="00B05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28C9-4A08-8DFA-74CC7D39ECAD}"/>
              </c:ext>
            </c:extLst>
          </c:dPt>
          <c:dPt>
            <c:idx val="15"/>
            <c:invertIfNegative val="0"/>
            <c:bubble3D val="0"/>
            <c:spPr>
              <a:solidFill>
                <a:srgbClr val="00B05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B-28C9-4A08-8DFA-74CC7D39ECAD}"/>
              </c:ext>
            </c:extLst>
          </c:dPt>
          <c:dPt>
            <c:idx val="23"/>
            <c:invertIfNegative val="0"/>
            <c:bubble3D val="0"/>
            <c:spPr>
              <a:solidFill>
                <a:srgbClr val="7030A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D-28C9-4A08-8DFA-74CC7D39ECAD}"/>
              </c:ext>
            </c:extLst>
          </c:dPt>
          <c:dPt>
            <c:idx val="24"/>
            <c:invertIfNegative val="0"/>
            <c:bubble3D val="0"/>
            <c:spPr>
              <a:solidFill>
                <a:srgbClr val="00B05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F-28C9-4A08-8DFA-74CC7D39ECAD}"/>
              </c:ext>
            </c:extLst>
          </c:dPt>
          <c:dLbls>
            <c:dLbl>
              <c:idx val="0"/>
              <c:tx>
                <c:rich>
                  <a:bodyPr/>
                  <a:lstStyle/>
                  <a:p>
                    <a:fld id="{E105D61D-B01E-492D-BA47-00A403AB0AFD}" type="CELLRANGE">
                      <a:rPr lang="zh-CN" altLang="en-US"/>
                      <a:pPr/>
                      <a:t>[CELLRANGE]</a:t>
                    </a:fld>
                    <a:r>
                      <a:rPr lang="en-US" altLang="zh-CN"/>
                      <a:t>,</a:t>
                    </a:r>
                    <a:fld id="{C5683C56-1118-4091-A23D-80C179C11265}" type="VALUE">
                      <a:rPr lang="en-US" altLang="zh-CN"/>
                      <a:pPr/>
                      <a:t>[值]</a:t>
                    </a:fld>
                    <a:endParaRPr lang="en-US" altLang="zh-CN"/>
                  </a:p>
                </c:rich>
              </c:tx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10-28C9-4A08-8DFA-74CC7D39ECAD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657E86BB-9BA2-432A-A25C-203B134013C7}" type="CELLRANGE">
                      <a:rPr lang="zh-CN" altLang="en-US"/>
                      <a:pPr/>
                      <a:t>[CELLRANGE]</a:t>
                    </a:fld>
                    <a:r>
                      <a:rPr lang="en-US" altLang="zh-CN"/>
                      <a:t>,</a:t>
                    </a:r>
                    <a:fld id="{29E883AC-F2B5-43D7-9517-3DF97E65301D}" type="VALUE">
                      <a:rPr lang="en-US" altLang="zh-CN"/>
                      <a:pPr/>
                      <a:t>[值]</a:t>
                    </a:fld>
                    <a:endParaRPr lang="en-US" altLang="zh-CN"/>
                  </a:p>
                </c:rich>
              </c:tx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1-28C9-4A08-8DFA-74CC7D39ECAD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F669E705-D49F-4E44-895E-A0D3CBF8EF83}" type="CELLRANGE">
                      <a:rPr lang="zh-CN" altLang="en-US"/>
                      <a:pPr/>
                      <a:t>[CELLRANGE]</a:t>
                    </a:fld>
                    <a:r>
                      <a:rPr lang="en-US" altLang="zh-CN"/>
                      <a:t>,</a:t>
                    </a:r>
                    <a:fld id="{1CD68FD4-FB81-4690-B2A9-FA4D8CC66538}" type="VALUE">
                      <a:rPr lang="en-US" altLang="zh-CN"/>
                      <a:pPr/>
                      <a:t>[值]</a:t>
                    </a:fld>
                    <a:endParaRPr lang="en-US" altLang="zh-CN"/>
                  </a:p>
                </c:rich>
              </c:tx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11-28C9-4A08-8DFA-74CC7D39ECAD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E1D605E5-B232-44E8-B98A-11390B011D34}" type="CELLRANGE">
                      <a:rPr lang="zh-CN" altLang="en-US"/>
                      <a:pPr/>
                      <a:t>[CELLRANGE]</a:t>
                    </a:fld>
                    <a:r>
                      <a:rPr lang="en-US" altLang="zh-CN"/>
                      <a:t>,</a:t>
                    </a:r>
                    <a:fld id="{D8183671-C60F-4D86-864A-86B12CEE0324}" type="VALUE">
                      <a:rPr lang="en-US" altLang="zh-CN"/>
                      <a:pPr/>
                      <a:t>[值]</a:t>
                    </a:fld>
                    <a:endParaRPr lang="en-US" altLang="zh-CN"/>
                  </a:p>
                </c:rich>
              </c:tx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12-28C9-4A08-8DFA-74CC7D39ECAD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36AC24BE-C446-47BB-A6E1-3275EF15E968}" type="CELLRANGE">
                      <a:rPr lang="zh-CN" altLang="en-US"/>
                      <a:pPr/>
                      <a:t>[CELLRANGE]</a:t>
                    </a:fld>
                    <a:r>
                      <a:rPr lang="en-US" altLang="zh-CN"/>
                      <a:t>,</a:t>
                    </a:r>
                    <a:fld id="{CC4FB05C-62C8-4231-85FA-7A6358B8B9A6}" type="VALUE">
                      <a:rPr lang="en-US" altLang="zh-CN"/>
                      <a:pPr/>
                      <a:t>[值]</a:t>
                    </a:fld>
                    <a:endParaRPr lang="en-US" altLang="zh-CN"/>
                  </a:p>
                </c:rich>
              </c:tx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3-28C9-4A08-8DFA-74CC7D39ECAD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endParaRPr lang="zh-CN" altLang="en-US"/>
                  </a:p>
                </c:rich>
              </c:tx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1"/>
                </c:ext>
                <c:ext xmlns:c16="http://schemas.microsoft.com/office/drawing/2014/chart" uri="{C3380CC4-5D6E-409C-BE32-E72D297353CC}">
                  <c16:uniqueId val="{00000013-28C9-4A08-8DFA-74CC7D39ECAD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C772EF61-FC6E-4AAD-B8DB-851B42B6A198}" type="CELLRANGE">
                      <a:rPr lang="zh-CN" altLang="en-US"/>
                      <a:pPr/>
                      <a:t>[CELLRANGE]</a:t>
                    </a:fld>
                    <a:r>
                      <a:rPr lang="en-US" altLang="zh-CN"/>
                      <a:t>,</a:t>
                    </a:r>
                    <a:fld id="{E430CB54-06E7-44AB-87C0-9E3583A316B7}" type="VALUE">
                      <a:rPr lang="en-US" altLang="zh-CN"/>
                      <a:pPr/>
                      <a:t>[值]</a:t>
                    </a:fld>
                    <a:endParaRPr lang="en-US" altLang="zh-CN"/>
                  </a:p>
                </c:rich>
              </c:tx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5-28C9-4A08-8DFA-74CC7D39ECAD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fld id="{CB4E890D-5C4A-467F-8741-B73858DFD45F}" type="CELLRANGE">
                      <a:rPr lang="zh-CN" altLang="en-US"/>
                      <a:pPr/>
                      <a:t>[CELLRANGE]</a:t>
                    </a:fld>
                    <a:r>
                      <a:rPr lang="en-US" altLang="zh-CN"/>
                      <a:t>,</a:t>
                    </a:r>
                    <a:fld id="{91F5B277-25BA-473A-930C-282623E02826}" type="VALUE">
                      <a:rPr lang="en-US" altLang="zh-CN"/>
                      <a:pPr/>
                      <a:t>[值]</a:t>
                    </a:fld>
                    <a:endParaRPr lang="en-US" altLang="zh-CN"/>
                  </a:p>
                </c:rich>
              </c:tx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14-28C9-4A08-8DFA-74CC7D39ECAD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fld id="{703E4341-78CC-46C3-9383-A60BCCA2AA5B}" type="CELLRANGE">
                      <a:rPr lang="zh-CN" altLang="en-US"/>
                      <a:pPr/>
                      <a:t>[CELLRANGE]</a:t>
                    </a:fld>
                    <a:r>
                      <a:rPr lang="en-US" altLang="zh-CN"/>
                      <a:t>,</a:t>
                    </a:r>
                    <a:fld id="{7AEA6390-1F44-401A-BE30-280DF3560E79}" type="VALUE">
                      <a:rPr lang="en-US" altLang="zh-CN"/>
                      <a:pPr/>
                      <a:t>[值]</a:t>
                    </a:fld>
                    <a:endParaRPr lang="en-US" altLang="zh-CN"/>
                  </a:p>
                </c:rich>
              </c:tx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7-28C9-4A08-8DFA-74CC7D39ECAD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fld id="{64DB32AA-0C80-42FA-811E-0DCB36F88EEF}" type="CELLRANGE">
                      <a:rPr lang="zh-CN" altLang="en-US"/>
                      <a:pPr/>
                      <a:t>[CELLRANGE]</a:t>
                    </a:fld>
                    <a:r>
                      <a:rPr lang="en-US" altLang="zh-CN"/>
                      <a:t>,</a:t>
                    </a:r>
                    <a:fld id="{54B00104-6D6D-4131-A16C-03A696BE63FB}" type="VALUE">
                      <a:rPr lang="en-US" altLang="zh-CN"/>
                      <a:pPr/>
                      <a:t>[值]</a:t>
                    </a:fld>
                    <a:endParaRPr lang="en-US" altLang="zh-CN"/>
                  </a:p>
                </c:rich>
              </c:tx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15-28C9-4A08-8DFA-74CC7D39ECAD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endParaRPr lang="zh-CN" altLang="en-US"/>
                  </a:p>
                </c:rich>
              </c:tx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6-28C9-4A08-8DFA-74CC7D39ECAD}"/>
                </c:ext>
              </c:extLst>
            </c:dLbl>
            <c:dLbl>
              <c:idx val="11"/>
              <c:tx>
                <c:rich>
                  <a:bodyPr/>
                  <a:lstStyle/>
                  <a:p>
                    <a:fld id="{A1EF48E8-5B4B-4E7A-9FD7-65D0EAD37CB7}" type="CELLRANGE">
                      <a:rPr lang="zh-CN" altLang="en-US"/>
                      <a:pPr/>
                      <a:t>[CELLRANGE]</a:t>
                    </a:fld>
                    <a:r>
                      <a:rPr lang="en-US" altLang="zh-CN"/>
                      <a:t>,</a:t>
                    </a:r>
                    <a:fld id="{7917DE55-E275-44FC-84AA-CD020C98CB43}" type="VALUE">
                      <a:rPr lang="en-US" altLang="zh-CN"/>
                      <a:pPr/>
                      <a:t>[值]</a:t>
                    </a:fld>
                    <a:endParaRPr lang="en-US" altLang="zh-CN"/>
                  </a:p>
                </c:rich>
              </c:tx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17-28C9-4A08-8DFA-74CC7D39ECAD}"/>
                </c:ext>
              </c:extLst>
            </c:dLbl>
            <c:dLbl>
              <c:idx val="12"/>
              <c:tx>
                <c:rich>
                  <a:bodyPr/>
                  <a:lstStyle/>
                  <a:p>
                    <a:fld id="{E8463098-018B-4F3C-806F-416476488AF4}" type="CELLRANGE">
                      <a:rPr lang="zh-CN" altLang="en-US"/>
                      <a:pPr/>
                      <a:t>[CELLRANGE]</a:t>
                    </a:fld>
                    <a:r>
                      <a:rPr lang="en-US" altLang="zh-CN"/>
                      <a:t>,</a:t>
                    </a:r>
                    <a:fld id="{195563BA-77A5-4F27-B74A-C45405C7A268}" type="VALUE">
                      <a:rPr lang="en-US" altLang="zh-CN"/>
                      <a:pPr/>
                      <a:t>[值]</a:t>
                    </a:fld>
                    <a:endParaRPr lang="en-US" altLang="zh-CN"/>
                  </a:p>
                </c:rich>
              </c:tx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18-28C9-4A08-8DFA-74CC7D39ECAD}"/>
                </c:ext>
              </c:extLst>
            </c:dLbl>
            <c:dLbl>
              <c:idx val="13"/>
              <c:tx>
                <c:rich>
                  <a:bodyPr/>
                  <a:lstStyle/>
                  <a:p>
                    <a:fld id="{9DC2ADE5-CC42-4590-85F7-DAC01D2B5332}" type="CELLRANGE">
                      <a:rPr lang="zh-CN" altLang="en-US"/>
                      <a:pPr/>
                      <a:t>[CELLRANGE]</a:t>
                    </a:fld>
                    <a:r>
                      <a:rPr lang="en-US" altLang="zh-CN"/>
                      <a:t>,</a:t>
                    </a:r>
                    <a:fld id="{6410A72F-B957-400D-961F-2F25E5930C8D}" type="VALUE">
                      <a:rPr lang="en-US" altLang="zh-CN"/>
                      <a:pPr/>
                      <a:t>[值]</a:t>
                    </a:fld>
                    <a:endParaRPr lang="en-US" altLang="zh-CN"/>
                  </a:p>
                </c:rich>
              </c:tx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19-28C9-4A08-8DFA-74CC7D39ECAD}"/>
                </c:ext>
              </c:extLst>
            </c:dLbl>
            <c:dLbl>
              <c:idx val="14"/>
              <c:tx>
                <c:rich>
                  <a:bodyPr/>
                  <a:lstStyle/>
                  <a:p>
                    <a:fld id="{BB6696B6-9C88-4474-A395-D163251D1C31}" type="CELLRANGE">
                      <a:rPr lang="zh-CN" altLang="en-US"/>
                      <a:pPr/>
                      <a:t>[CELLRANGE]</a:t>
                    </a:fld>
                    <a:r>
                      <a:rPr lang="en-US" altLang="zh-CN"/>
                      <a:t>,</a:t>
                    </a:r>
                    <a:fld id="{B2057FB6-7FE5-4CFA-BB4A-4CCF8EC303DD}" type="VALUE">
                      <a:rPr lang="en-US" altLang="zh-CN"/>
                      <a:pPr/>
                      <a:t>[值]</a:t>
                    </a:fld>
                    <a:endParaRPr lang="en-US" altLang="zh-CN"/>
                  </a:p>
                </c:rich>
              </c:tx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9-28C9-4A08-8DFA-74CC7D39ECAD}"/>
                </c:ext>
              </c:extLst>
            </c:dLbl>
            <c:dLbl>
              <c:idx val="15"/>
              <c:tx>
                <c:rich>
                  <a:bodyPr/>
                  <a:lstStyle/>
                  <a:p>
                    <a:fld id="{2A4413F7-05A3-4656-96D9-CED53552C47B}" type="CELLRANGE">
                      <a:rPr lang="zh-CN" altLang="en-US"/>
                      <a:pPr/>
                      <a:t>[CELLRANGE]</a:t>
                    </a:fld>
                    <a:r>
                      <a:rPr lang="en-US" altLang="zh-CN"/>
                      <a:t>,</a:t>
                    </a:r>
                    <a:fld id="{2B2D7886-E12A-4256-8CE3-5F45C4D6AF59}" type="VALUE">
                      <a:rPr lang="en-US" altLang="zh-CN"/>
                      <a:pPr/>
                      <a:t>[值]</a:t>
                    </a:fld>
                    <a:endParaRPr lang="en-US" altLang="zh-CN"/>
                  </a:p>
                </c:rich>
              </c:tx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B-28C9-4A08-8DFA-74CC7D39ECAD}"/>
                </c:ext>
              </c:extLst>
            </c:dLbl>
            <c:dLbl>
              <c:idx val="16"/>
              <c:tx>
                <c:rich>
                  <a:bodyPr/>
                  <a:lstStyle/>
                  <a:p>
                    <a:endParaRPr lang="zh-CN" altLang="en-US"/>
                  </a:p>
                </c:rich>
              </c:tx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A-28C9-4A08-8DFA-74CC7D39ECAD}"/>
                </c:ext>
              </c:extLst>
            </c:dLbl>
            <c:dLbl>
              <c:idx val="17"/>
              <c:tx>
                <c:rich>
                  <a:bodyPr/>
                  <a:lstStyle/>
                  <a:p>
                    <a:fld id="{16602F35-21FF-4CC5-9AE4-1E9DF67BE692}" type="CELLRANGE">
                      <a:rPr lang="zh-CN" altLang="en-US"/>
                      <a:pPr/>
                      <a:t>[CELLRANGE]</a:t>
                    </a:fld>
                    <a:r>
                      <a:rPr lang="en-US" altLang="zh-CN"/>
                      <a:t>,</a:t>
                    </a:r>
                    <a:fld id="{27C21815-2D46-46F8-A1FF-C19D851A0819}" type="VALUE">
                      <a:rPr lang="en-US" altLang="zh-CN"/>
                      <a:pPr/>
                      <a:t>[值]</a:t>
                    </a:fld>
                    <a:endParaRPr lang="en-US" altLang="zh-CN"/>
                  </a:p>
                </c:rich>
              </c:tx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1B-28C9-4A08-8DFA-74CC7D39ECAD}"/>
                </c:ext>
              </c:extLst>
            </c:dLbl>
            <c:dLbl>
              <c:idx val="18"/>
              <c:tx>
                <c:rich>
                  <a:bodyPr/>
                  <a:lstStyle/>
                  <a:p>
                    <a:fld id="{AE530470-5693-472D-9394-42F4E6C7182E}" type="CELLRANGE">
                      <a:rPr lang="zh-CN" altLang="en-US"/>
                      <a:pPr/>
                      <a:t>[CELLRANGE]</a:t>
                    </a:fld>
                    <a:r>
                      <a:rPr lang="en-US" altLang="zh-CN"/>
                      <a:t>,</a:t>
                    </a:r>
                    <a:fld id="{39722FAB-0A2C-4C05-A44E-E6EF43474A68}" type="VALUE">
                      <a:rPr lang="en-US" altLang="zh-CN"/>
                      <a:pPr/>
                      <a:t>[值]</a:t>
                    </a:fld>
                    <a:endParaRPr lang="en-US" altLang="zh-CN"/>
                  </a:p>
                </c:rich>
              </c:tx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1C-28C9-4A08-8DFA-74CC7D39ECAD}"/>
                </c:ext>
              </c:extLst>
            </c:dLbl>
            <c:dLbl>
              <c:idx val="19"/>
              <c:tx>
                <c:rich>
                  <a:bodyPr/>
                  <a:lstStyle/>
                  <a:p>
                    <a:fld id="{18C71A6C-F811-4455-AC18-BB3C6B95B268}" type="CELLRANGE">
                      <a:rPr lang="zh-CN" altLang="en-US"/>
                      <a:pPr/>
                      <a:t>[CELLRANGE]</a:t>
                    </a:fld>
                    <a:r>
                      <a:rPr lang="en-US" altLang="zh-CN"/>
                      <a:t>,</a:t>
                    </a:r>
                    <a:fld id="{9AF38CE5-3E20-48B1-AFBC-6490FE71DA87}" type="VALUE">
                      <a:rPr lang="en-US" altLang="zh-CN"/>
                      <a:pPr/>
                      <a:t>[值]</a:t>
                    </a:fld>
                    <a:endParaRPr lang="en-US" altLang="zh-CN"/>
                  </a:p>
                </c:rich>
              </c:tx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1D-28C9-4A08-8DFA-74CC7D39ECAD}"/>
                </c:ext>
              </c:extLst>
            </c:dLbl>
            <c:dLbl>
              <c:idx val="20"/>
              <c:tx>
                <c:rich>
                  <a:bodyPr/>
                  <a:lstStyle/>
                  <a:p>
                    <a:fld id="{028A6588-0F54-4A4E-945C-56FC6A832BDB}" type="CELLRANGE">
                      <a:rPr lang="zh-CN" altLang="en-US"/>
                      <a:pPr/>
                      <a:t>[CELLRANGE]</a:t>
                    </a:fld>
                    <a:r>
                      <a:rPr lang="en-US" altLang="zh-CN"/>
                      <a:t>,</a:t>
                    </a:r>
                    <a:fld id="{952C9A71-0E43-4277-A315-6677BDB16AB3}" type="VALUE">
                      <a:rPr lang="en-US" altLang="zh-CN"/>
                      <a:pPr/>
                      <a:t>[值]</a:t>
                    </a:fld>
                    <a:endParaRPr lang="en-US" altLang="zh-CN"/>
                  </a:p>
                </c:rich>
              </c:tx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1E-28C9-4A08-8DFA-74CC7D39ECAD}"/>
                </c:ext>
              </c:extLst>
            </c:dLbl>
            <c:dLbl>
              <c:idx val="21"/>
              <c:tx>
                <c:rich>
                  <a:bodyPr/>
                  <a:lstStyle/>
                  <a:p>
                    <a:fld id="{C60C1B8D-5E9C-4B41-A322-A949AB3774B2}" type="CELLRANGE">
                      <a:rPr lang="zh-CN" altLang="en-US"/>
                      <a:pPr/>
                      <a:t>[CELLRANGE]</a:t>
                    </a:fld>
                    <a:r>
                      <a:rPr lang="zh-CN" altLang="en-US" baseline="0"/>
                      <a:t>, </a:t>
                    </a:r>
                    <a:fld id="{45BCAD15-6651-4803-AA50-926FA3380847}" type="VALUE">
                      <a:rPr lang="zh-CN" altLang="en-US" baseline="0"/>
                      <a:pPr/>
                      <a:t>[值]</a:t>
                    </a:fld>
                    <a:endParaRPr lang="zh-CN" altLang="en-US" baseline="0"/>
                  </a:p>
                </c:rich>
              </c:tx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F-28C9-4A08-8DFA-74CC7D39ECAD}"/>
                </c:ext>
              </c:extLst>
            </c:dLbl>
            <c:dLbl>
              <c:idx val="22"/>
              <c:tx>
                <c:rich>
                  <a:bodyPr/>
                  <a:lstStyle/>
                  <a:p>
                    <a:fld id="{C885C777-A086-4A61-8EF8-398E2AC95A8A}" type="CELLRANGE">
                      <a:rPr lang="zh-CN" altLang="en-US"/>
                      <a:pPr/>
                      <a:t>[CELLRANGE]</a:t>
                    </a:fld>
                    <a:r>
                      <a:t>,</a:t>
                    </a:r>
                    <a:fld id="{AA24C9B1-9AF8-401A-89AF-856EFA225D25}" type="VALUE">
                      <a:rPr lang="zh-CN" altLang="en-US"/>
                      <a:pPr/>
                      <a:t>[值]</a:t>
                    </a:fld>
                    <a:endParaRPr/>
                  </a:p>
                </c:rich>
              </c:tx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20-28C9-4A08-8DFA-74CC7D39ECAD}"/>
                </c:ext>
              </c:extLst>
            </c:dLbl>
            <c:dLbl>
              <c:idx val="23"/>
              <c:tx>
                <c:rich>
                  <a:bodyPr/>
                  <a:lstStyle/>
                  <a:p>
                    <a:fld id="{34584497-CB20-4C01-8660-F4AF7718E1C8}" type="CELLRANGE">
                      <a:rPr lang="zh-CN" altLang="en-US"/>
                      <a:pPr/>
                      <a:t>[CELLRANGE]</a:t>
                    </a:fld>
                    <a:r>
                      <a:rPr lang="en-US" altLang="zh-CN"/>
                      <a:t>,</a:t>
                    </a:r>
                    <a:fld id="{6112196B-B1FE-4111-9952-ECE43F7BD373}" type="VALUE">
                      <a:rPr lang="en-US" altLang="zh-CN"/>
                      <a:pPr/>
                      <a:t>[值]</a:t>
                    </a:fld>
                    <a:endParaRPr lang="en-US" altLang="zh-CN"/>
                  </a:p>
                </c:rich>
              </c:tx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D-28C9-4A08-8DFA-74CC7D39ECAD}"/>
                </c:ext>
              </c:extLst>
            </c:dLbl>
            <c:dLbl>
              <c:idx val="24"/>
              <c:tx>
                <c:rich>
                  <a:bodyPr/>
                  <a:lstStyle/>
                  <a:p>
                    <a:fld id="{75728368-D1AE-43F8-A496-DEF896C5C519}" type="CELLRANGE">
                      <a:rPr lang="zh-CN" altLang="en-US"/>
                      <a:pPr/>
                      <a:t>[CELLRANGE]</a:t>
                    </a:fld>
                    <a:r>
                      <a:rPr lang="en-US" altLang="zh-CN"/>
                      <a:t>,</a:t>
                    </a:r>
                    <a:fld id="{A5CF608B-6BAD-4618-8084-2DEF77C1D77A}" type="VALUE">
                      <a:rPr lang="en-US" altLang="zh-CN"/>
                      <a:pPr/>
                      <a:t>[值]</a:t>
                    </a:fld>
                    <a:endParaRPr lang="en-US" altLang="zh-CN"/>
                  </a:p>
                </c:rich>
              </c:tx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F-28C9-4A08-8DFA-74CC7D39ECA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zh-CN" sz="1000" b="0" i="0" u="none" strike="noStrike" kern="1200" baseline="0">
                    <a:ln w="6350">
                      <a:solidFill>
                        <a:schemeClr val="tx1">
                          <a:alpha val="50000"/>
                        </a:schemeClr>
                      </a:solidFill>
                    </a:ln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新宋体" panose="02010609030101010101" pitchFamily="49" charset="-122"/>
                    <a:ea typeface="新宋体" panose="02010609030101010101" pitchFamily="49" charset="-122"/>
                    <a:cs typeface="+mn-cs"/>
                  </a:defRPr>
                </a:pPr>
                <a:endParaRPr lang="zh-CN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各种技能!$L$5:$L$29</c:f>
              <c:strCache>
                <c:ptCount val="25"/>
                <c:pt idx="0">
                  <c:v>弓</c:v>
                </c:pt>
                <c:pt idx="1">
                  <c:v>弩</c:v>
                </c:pt>
                <c:pt idx="2">
                  <c:v>投掷</c:v>
                </c:pt>
                <c:pt idx="3">
                  <c:v>发射器</c:v>
                </c:pt>
                <c:pt idx="4">
                  <c:v>火器</c:v>
                </c:pt>
                <c:pt idx="5">
                  <c:v>短程武器</c:v>
                </c:pt>
                <c:pt idx="6">
                  <c:v>拳套</c:v>
                </c:pt>
                <c:pt idx="7">
                  <c:v>爪</c:v>
                </c:pt>
                <c:pt idx="8">
                  <c:v>匕首</c:v>
                </c:pt>
                <c:pt idx="9">
                  <c:v>杖</c:v>
                </c:pt>
                <c:pt idx="10">
                  <c:v>中程武器</c:v>
                </c:pt>
                <c:pt idx="11">
                  <c:v>打刀</c:v>
                </c:pt>
                <c:pt idx="12">
                  <c:v>长刀</c:v>
                </c:pt>
                <c:pt idx="13">
                  <c:v>剑</c:v>
                </c:pt>
                <c:pt idx="14">
                  <c:v>短棍</c:v>
                </c:pt>
                <c:pt idx="15">
                  <c:v>鞭</c:v>
                </c:pt>
                <c:pt idx="16">
                  <c:v>长柄武器</c:v>
                </c:pt>
                <c:pt idx="17">
                  <c:v>长枪</c:v>
                </c:pt>
                <c:pt idx="18">
                  <c:v>长柄刀</c:v>
                </c:pt>
                <c:pt idx="19">
                  <c:v>长戟</c:v>
                </c:pt>
                <c:pt idx="20">
                  <c:v>棍</c:v>
                </c:pt>
                <c:pt idx="21">
                  <c:v>镰刀</c:v>
                </c:pt>
                <c:pt idx="22">
                  <c:v>重型武器</c:v>
                </c:pt>
                <c:pt idx="23">
                  <c:v>巨剑</c:v>
                </c:pt>
                <c:pt idx="24">
                  <c:v>大锤</c:v>
                </c:pt>
              </c:strCache>
            </c:strRef>
          </c:cat>
          <c:val>
            <c:numRef>
              <c:f>各种技能!$N$5:$N$29</c:f>
              <c:numCache>
                <c:formatCode>General</c:formatCode>
                <c:ptCount val="25"/>
                <c:pt idx="0">
                  <c:v>50</c:v>
                </c:pt>
                <c:pt idx="1">
                  <c:v>50</c:v>
                </c:pt>
                <c:pt idx="2">
                  <c:v>50</c:v>
                </c:pt>
                <c:pt idx="3">
                  <c:v>50</c:v>
                </c:pt>
                <c:pt idx="4">
                  <c:v>50</c:v>
                </c:pt>
                <c:pt idx="6">
                  <c:v>50</c:v>
                </c:pt>
                <c:pt idx="7">
                  <c:v>50</c:v>
                </c:pt>
                <c:pt idx="8">
                  <c:v>50</c:v>
                </c:pt>
                <c:pt idx="9">
                  <c:v>50</c:v>
                </c:pt>
                <c:pt idx="11">
                  <c:v>50</c:v>
                </c:pt>
                <c:pt idx="12">
                  <c:v>50</c:v>
                </c:pt>
                <c:pt idx="13">
                  <c:v>50</c:v>
                </c:pt>
                <c:pt idx="14">
                  <c:v>50</c:v>
                </c:pt>
                <c:pt idx="15">
                  <c:v>50</c:v>
                </c:pt>
                <c:pt idx="17">
                  <c:v>50</c:v>
                </c:pt>
                <c:pt idx="18">
                  <c:v>50</c:v>
                </c:pt>
                <c:pt idx="19">
                  <c:v>50</c:v>
                </c:pt>
                <c:pt idx="20">
                  <c:v>50</c:v>
                </c:pt>
                <c:pt idx="21">
                  <c:v>50</c:v>
                </c:pt>
                <c:pt idx="23">
                  <c:v>50</c:v>
                </c:pt>
                <c:pt idx="24">
                  <c:v>50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各种技能!$M$5:$M$29</c15:f>
                <c15:dlblRangeCache>
                  <c:ptCount val="25"/>
                  <c:pt idx="0">
                    <c:v>力量</c:v>
                  </c:pt>
                  <c:pt idx="1">
                    <c:v>敏捷</c:v>
                  </c:pt>
                  <c:pt idx="2">
                    <c:v>力量</c:v>
                  </c:pt>
                  <c:pt idx="3">
                    <c:v>敏捷</c:v>
                  </c:pt>
                  <c:pt idx="4">
                    <c:v>敏捷</c:v>
                  </c:pt>
                  <c:pt idx="6">
                    <c:v>力量</c:v>
                  </c:pt>
                  <c:pt idx="7">
                    <c:v>敏捷</c:v>
                  </c:pt>
                  <c:pt idx="8">
                    <c:v>敏捷</c:v>
                  </c:pt>
                  <c:pt idx="9">
                    <c:v>敏捷</c:v>
                  </c:pt>
                  <c:pt idx="11">
                    <c:v>敏捷</c:v>
                  </c:pt>
                  <c:pt idx="12">
                    <c:v>力量</c:v>
                  </c:pt>
                  <c:pt idx="13">
                    <c:v>力量</c:v>
                  </c:pt>
                  <c:pt idx="14">
                    <c:v>力量</c:v>
                  </c:pt>
                  <c:pt idx="15">
                    <c:v>敏捷</c:v>
                  </c:pt>
                  <c:pt idx="17">
                    <c:v>力量</c:v>
                  </c:pt>
                  <c:pt idx="18">
                    <c:v>力量</c:v>
                  </c:pt>
                  <c:pt idx="19">
                    <c:v>力量</c:v>
                  </c:pt>
                  <c:pt idx="20">
                    <c:v>力量</c:v>
                  </c:pt>
                  <c:pt idx="21">
                    <c:v>力量</c:v>
                  </c:pt>
                  <c:pt idx="23">
                    <c:v>力量</c:v>
                  </c:pt>
                  <c:pt idx="24">
                    <c:v>力量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21-28C9-4A08-8DFA-74CC7D39ECAD}"/>
            </c:ext>
          </c:extLst>
        </c:ser>
        <c:ser>
          <c:idx val="1"/>
          <c:order val="1"/>
          <c:tx>
            <c:strRef>
              <c:f>各种技能!$O$3</c:f>
              <c:strCache>
                <c:ptCount val="1"/>
                <c:pt idx="0">
                  <c:v>熟练度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zh-CN"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zh-CN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各种技能!$L$5:$L$29</c:f>
              <c:strCache>
                <c:ptCount val="25"/>
                <c:pt idx="0">
                  <c:v>弓</c:v>
                </c:pt>
                <c:pt idx="1">
                  <c:v>弩</c:v>
                </c:pt>
                <c:pt idx="2">
                  <c:v>投掷</c:v>
                </c:pt>
                <c:pt idx="3">
                  <c:v>发射器</c:v>
                </c:pt>
                <c:pt idx="4">
                  <c:v>火器</c:v>
                </c:pt>
                <c:pt idx="5">
                  <c:v>短程武器</c:v>
                </c:pt>
                <c:pt idx="6">
                  <c:v>拳套</c:v>
                </c:pt>
                <c:pt idx="7">
                  <c:v>爪</c:v>
                </c:pt>
                <c:pt idx="8">
                  <c:v>匕首</c:v>
                </c:pt>
                <c:pt idx="9">
                  <c:v>杖</c:v>
                </c:pt>
                <c:pt idx="10">
                  <c:v>中程武器</c:v>
                </c:pt>
                <c:pt idx="11">
                  <c:v>打刀</c:v>
                </c:pt>
                <c:pt idx="12">
                  <c:v>长刀</c:v>
                </c:pt>
                <c:pt idx="13">
                  <c:v>剑</c:v>
                </c:pt>
                <c:pt idx="14">
                  <c:v>短棍</c:v>
                </c:pt>
                <c:pt idx="15">
                  <c:v>鞭</c:v>
                </c:pt>
                <c:pt idx="16">
                  <c:v>长柄武器</c:v>
                </c:pt>
                <c:pt idx="17">
                  <c:v>长枪</c:v>
                </c:pt>
                <c:pt idx="18">
                  <c:v>长柄刀</c:v>
                </c:pt>
                <c:pt idx="19">
                  <c:v>长戟</c:v>
                </c:pt>
                <c:pt idx="20">
                  <c:v>棍</c:v>
                </c:pt>
                <c:pt idx="21">
                  <c:v>镰刀</c:v>
                </c:pt>
                <c:pt idx="22">
                  <c:v>重型武器</c:v>
                </c:pt>
                <c:pt idx="23">
                  <c:v>巨剑</c:v>
                </c:pt>
                <c:pt idx="24">
                  <c:v>大锤</c:v>
                </c:pt>
              </c:strCache>
            </c:strRef>
          </c:cat>
          <c:val>
            <c:numRef>
              <c:f>各种技能!$O$5:$O$29</c:f>
              <c:numCache>
                <c:formatCode>General</c:formatCode>
                <c:ptCount val="25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3">
                  <c:v>1</c:v>
                </c:pt>
                <c:pt idx="24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2-28C9-4A08-8DFA-74CC7D39ECAD}"/>
            </c:ext>
          </c:extLst>
        </c:ser>
        <c:ser>
          <c:idx val="2"/>
          <c:order val="2"/>
          <c:tx>
            <c:strRef>
              <c:f>各种技能!$P$3</c:f>
              <c:strCache>
                <c:ptCount val="1"/>
                <c:pt idx="0">
                  <c:v>职业加成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zh-CN"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zh-CN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各种技能!$L$5:$L$29</c:f>
              <c:strCache>
                <c:ptCount val="25"/>
                <c:pt idx="0">
                  <c:v>弓</c:v>
                </c:pt>
                <c:pt idx="1">
                  <c:v>弩</c:v>
                </c:pt>
                <c:pt idx="2">
                  <c:v>投掷</c:v>
                </c:pt>
                <c:pt idx="3">
                  <c:v>发射器</c:v>
                </c:pt>
                <c:pt idx="4">
                  <c:v>火器</c:v>
                </c:pt>
                <c:pt idx="5">
                  <c:v>短程武器</c:v>
                </c:pt>
                <c:pt idx="6">
                  <c:v>拳套</c:v>
                </c:pt>
                <c:pt idx="7">
                  <c:v>爪</c:v>
                </c:pt>
                <c:pt idx="8">
                  <c:v>匕首</c:v>
                </c:pt>
                <c:pt idx="9">
                  <c:v>杖</c:v>
                </c:pt>
                <c:pt idx="10">
                  <c:v>中程武器</c:v>
                </c:pt>
                <c:pt idx="11">
                  <c:v>打刀</c:v>
                </c:pt>
                <c:pt idx="12">
                  <c:v>长刀</c:v>
                </c:pt>
                <c:pt idx="13">
                  <c:v>剑</c:v>
                </c:pt>
                <c:pt idx="14">
                  <c:v>短棍</c:v>
                </c:pt>
                <c:pt idx="15">
                  <c:v>鞭</c:v>
                </c:pt>
                <c:pt idx="16">
                  <c:v>长柄武器</c:v>
                </c:pt>
                <c:pt idx="17">
                  <c:v>长枪</c:v>
                </c:pt>
                <c:pt idx="18">
                  <c:v>长柄刀</c:v>
                </c:pt>
                <c:pt idx="19">
                  <c:v>长戟</c:v>
                </c:pt>
                <c:pt idx="20">
                  <c:v>棍</c:v>
                </c:pt>
                <c:pt idx="21">
                  <c:v>镰刀</c:v>
                </c:pt>
                <c:pt idx="22">
                  <c:v>重型武器</c:v>
                </c:pt>
                <c:pt idx="23">
                  <c:v>巨剑</c:v>
                </c:pt>
                <c:pt idx="24">
                  <c:v>大锤</c:v>
                </c:pt>
              </c:strCache>
            </c:strRef>
          </c:cat>
          <c:val>
            <c:numRef>
              <c:f>各种技能!$P$5:$P$29</c:f>
              <c:numCache>
                <c:formatCode>General</c:formatCode>
                <c:ptCount val="25"/>
              </c:numCache>
            </c:numRef>
          </c:val>
          <c:extLst>
            <c:ext xmlns:c16="http://schemas.microsoft.com/office/drawing/2014/chart" uri="{C3380CC4-5D6E-409C-BE32-E72D297353CC}">
              <c16:uniqueId val="{00000023-28C9-4A08-8DFA-74CC7D39ECAD}"/>
            </c:ext>
          </c:extLst>
        </c:ser>
        <c:ser>
          <c:idx val="3"/>
          <c:order val="3"/>
          <c:tx>
            <c:strRef>
              <c:f>各种技能!$Q$3</c:f>
              <c:strCache>
                <c:ptCount val="1"/>
                <c:pt idx="0">
                  <c:v>社群加成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zh-CN"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zh-CN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各种技能!$L$5:$L$29</c:f>
              <c:strCache>
                <c:ptCount val="25"/>
                <c:pt idx="0">
                  <c:v>弓</c:v>
                </c:pt>
                <c:pt idx="1">
                  <c:v>弩</c:v>
                </c:pt>
                <c:pt idx="2">
                  <c:v>投掷</c:v>
                </c:pt>
                <c:pt idx="3">
                  <c:v>发射器</c:v>
                </c:pt>
                <c:pt idx="4">
                  <c:v>火器</c:v>
                </c:pt>
                <c:pt idx="5">
                  <c:v>短程武器</c:v>
                </c:pt>
                <c:pt idx="6">
                  <c:v>拳套</c:v>
                </c:pt>
                <c:pt idx="7">
                  <c:v>爪</c:v>
                </c:pt>
                <c:pt idx="8">
                  <c:v>匕首</c:v>
                </c:pt>
                <c:pt idx="9">
                  <c:v>杖</c:v>
                </c:pt>
                <c:pt idx="10">
                  <c:v>中程武器</c:v>
                </c:pt>
                <c:pt idx="11">
                  <c:v>打刀</c:v>
                </c:pt>
                <c:pt idx="12">
                  <c:v>长刀</c:v>
                </c:pt>
                <c:pt idx="13">
                  <c:v>剑</c:v>
                </c:pt>
                <c:pt idx="14">
                  <c:v>短棍</c:v>
                </c:pt>
                <c:pt idx="15">
                  <c:v>鞭</c:v>
                </c:pt>
                <c:pt idx="16">
                  <c:v>长柄武器</c:v>
                </c:pt>
                <c:pt idx="17">
                  <c:v>长枪</c:v>
                </c:pt>
                <c:pt idx="18">
                  <c:v>长柄刀</c:v>
                </c:pt>
                <c:pt idx="19">
                  <c:v>长戟</c:v>
                </c:pt>
                <c:pt idx="20">
                  <c:v>棍</c:v>
                </c:pt>
                <c:pt idx="21">
                  <c:v>镰刀</c:v>
                </c:pt>
                <c:pt idx="22">
                  <c:v>重型武器</c:v>
                </c:pt>
                <c:pt idx="23">
                  <c:v>巨剑</c:v>
                </c:pt>
                <c:pt idx="24">
                  <c:v>大锤</c:v>
                </c:pt>
              </c:strCache>
            </c:strRef>
          </c:cat>
          <c:val>
            <c:numRef>
              <c:f>各种技能!$Q$5:$Q$29</c:f>
              <c:numCache>
                <c:formatCode>General</c:formatCode>
                <c:ptCount val="25"/>
              </c:numCache>
            </c:numRef>
          </c:val>
          <c:extLst>
            <c:ext xmlns:c16="http://schemas.microsoft.com/office/drawing/2014/chart" uri="{C3380CC4-5D6E-409C-BE32-E72D297353CC}">
              <c16:uniqueId val="{00000024-28C9-4A08-8DFA-74CC7D39ECAD}"/>
            </c:ext>
          </c:extLst>
        </c:ser>
        <c:ser>
          <c:idx val="4"/>
          <c:order val="4"/>
          <c:tx>
            <c:strRef>
              <c:f>各种技能!$R$3</c:f>
              <c:strCache>
                <c:ptCount val="1"/>
                <c:pt idx="0">
                  <c:v>总阈值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zh-CN" sz="12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zh-CN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各种技能!$L$5:$L$29</c:f>
              <c:strCache>
                <c:ptCount val="25"/>
                <c:pt idx="0">
                  <c:v>弓</c:v>
                </c:pt>
                <c:pt idx="1">
                  <c:v>弩</c:v>
                </c:pt>
                <c:pt idx="2">
                  <c:v>投掷</c:v>
                </c:pt>
                <c:pt idx="3">
                  <c:v>发射器</c:v>
                </c:pt>
                <c:pt idx="4">
                  <c:v>火器</c:v>
                </c:pt>
                <c:pt idx="5">
                  <c:v>短程武器</c:v>
                </c:pt>
                <c:pt idx="6">
                  <c:v>拳套</c:v>
                </c:pt>
                <c:pt idx="7">
                  <c:v>爪</c:v>
                </c:pt>
                <c:pt idx="8">
                  <c:v>匕首</c:v>
                </c:pt>
                <c:pt idx="9">
                  <c:v>杖</c:v>
                </c:pt>
                <c:pt idx="10">
                  <c:v>中程武器</c:v>
                </c:pt>
                <c:pt idx="11">
                  <c:v>打刀</c:v>
                </c:pt>
                <c:pt idx="12">
                  <c:v>长刀</c:v>
                </c:pt>
                <c:pt idx="13">
                  <c:v>剑</c:v>
                </c:pt>
                <c:pt idx="14">
                  <c:v>短棍</c:v>
                </c:pt>
                <c:pt idx="15">
                  <c:v>鞭</c:v>
                </c:pt>
                <c:pt idx="16">
                  <c:v>长柄武器</c:v>
                </c:pt>
                <c:pt idx="17">
                  <c:v>长枪</c:v>
                </c:pt>
                <c:pt idx="18">
                  <c:v>长柄刀</c:v>
                </c:pt>
                <c:pt idx="19">
                  <c:v>长戟</c:v>
                </c:pt>
                <c:pt idx="20">
                  <c:v>棍</c:v>
                </c:pt>
                <c:pt idx="21">
                  <c:v>镰刀</c:v>
                </c:pt>
                <c:pt idx="22">
                  <c:v>重型武器</c:v>
                </c:pt>
                <c:pt idx="23">
                  <c:v>巨剑</c:v>
                </c:pt>
                <c:pt idx="24">
                  <c:v>大锤</c:v>
                </c:pt>
              </c:strCache>
            </c:strRef>
          </c:cat>
          <c:val>
            <c:numRef>
              <c:f>各种技能!$R$5:$R$29</c:f>
              <c:numCache>
                <c:formatCode>0_ </c:formatCode>
                <c:ptCount val="25"/>
                <c:pt idx="0">
                  <c:v>50.7</c:v>
                </c:pt>
                <c:pt idx="1">
                  <c:v>50.7</c:v>
                </c:pt>
                <c:pt idx="2">
                  <c:v>50.7</c:v>
                </c:pt>
                <c:pt idx="3">
                  <c:v>50.7</c:v>
                </c:pt>
                <c:pt idx="4">
                  <c:v>50.7</c:v>
                </c:pt>
                <c:pt idx="6">
                  <c:v>50.7</c:v>
                </c:pt>
                <c:pt idx="7">
                  <c:v>50.7</c:v>
                </c:pt>
                <c:pt idx="8">
                  <c:v>50.7</c:v>
                </c:pt>
                <c:pt idx="9">
                  <c:v>50.7</c:v>
                </c:pt>
                <c:pt idx="11">
                  <c:v>50.7</c:v>
                </c:pt>
                <c:pt idx="12">
                  <c:v>50.7</c:v>
                </c:pt>
                <c:pt idx="13">
                  <c:v>50.7</c:v>
                </c:pt>
                <c:pt idx="14">
                  <c:v>50.7</c:v>
                </c:pt>
                <c:pt idx="15">
                  <c:v>50.7</c:v>
                </c:pt>
                <c:pt idx="17">
                  <c:v>50.7</c:v>
                </c:pt>
                <c:pt idx="18">
                  <c:v>50.7</c:v>
                </c:pt>
                <c:pt idx="19">
                  <c:v>50.7</c:v>
                </c:pt>
                <c:pt idx="20">
                  <c:v>50.7</c:v>
                </c:pt>
                <c:pt idx="21">
                  <c:v>50.7</c:v>
                </c:pt>
                <c:pt idx="23">
                  <c:v>50.7</c:v>
                </c:pt>
                <c:pt idx="24">
                  <c:v>50.7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5-28C9-4A08-8DFA-74CC7D39EC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875766112"/>
        <c:axId val="875756512"/>
      </c:barChart>
      <c:catAx>
        <c:axId val="87576611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875756512"/>
        <c:crosses val="autoZero"/>
        <c:auto val="1"/>
        <c:lblAlgn val="ctr"/>
        <c:lblOffset val="100"/>
        <c:noMultiLvlLbl val="0"/>
      </c:catAx>
      <c:valAx>
        <c:axId val="875756512"/>
        <c:scaling>
          <c:orientation val="minMax"/>
          <c:max val="15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875766112"/>
        <c:crosses val="autoZero"/>
        <c:crossBetween val="between"/>
        <c:majorUnit val="10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zh-CN"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CN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zh-CN"/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zh-CN"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新宋体" panose="02010609030101010101" pitchFamily="49" charset="-122"/>
                <a:ea typeface="新宋体" panose="02010609030101010101" pitchFamily="49" charset="-122"/>
                <a:cs typeface="+mn-cs"/>
              </a:defRPr>
            </a:pPr>
            <a:r>
              <a:rPr lang="zh-CN" altLang="en-US">
                <a:latin typeface="新宋体" panose="02010609030101010101" pitchFamily="49" charset="-122"/>
                <a:ea typeface="新宋体" panose="02010609030101010101" pitchFamily="49" charset="-122"/>
              </a:rPr>
              <a:t>角色状态</a:t>
            </a:r>
            <a:endParaRPr lang="zh-CN">
              <a:latin typeface="新宋体" panose="02010609030101010101" pitchFamily="49" charset="-122"/>
              <a:ea typeface="新宋体" panose="02010609030101010101" pitchFamily="49" charset="-122"/>
            </a:endParaRPr>
          </a:p>
        </c:rich>
      </c:tx>
      <c:layout>
        <c:manualLayout>
          <c:xMode val="edge"/>
          <c:yMode val="edge"/>
          <c:x val="5.2162849872773497E-2"/>
          <c:y val="2.5445292620865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zh-CN"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新宋体" panose="02010609030101010101" pitchFamily="49" charset="-122"/>
              <a:ea typeface="新宋体" panose="02010609030101010101" pitchFamily="49" charset="-122"/>
              <a:cs typeface="+mn-cs"/>
            </a:defRPr>
          </a:pPr>
          <a:endParaRPr lang="zh-CN"/>
        </a:p>
      </c:txPr>
    </c:title>
    <c:autoTitleDeleted val="0"/>
    <c:plotArea>
      <c:layout/>
      <c:barChart>
        <c:barDir val="bar"/>
        <c:grouping val="stacked"/>
        <c:varyColors val="0"/>
        <c:ser>
          <c:idx val="1"/>
          <c:order val="1"/>
          <c:tx>
            <c:strRef>
              <c:f>总表!$H$29</c:f>
              <c:strCache>
                <c:ptCount val="1"/>
                <c:pt idx="0">
                  <c:v>最大值</c:v>
                </c:pt>
              </c:strCache>
            </c:strRef>
          </c:tx>
          <c:spPr>
            <a:noFill/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zh-CN" sz="11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effectLst>
                      <a:glow rad="63500">
                        <a:schemeClr val="accent1">
                          <a:satMod val="175000"/>
                          <a:alpha val="40000"/>
                        </a:schemeClr>
                      </a:glow>
                      <a:outerShdw blurRad="50800" dist="38100" dir="2700000" algn="tl" rotWithShape="0">
                        <a:prstClr val="black">
                          <a:alpha val="40000"/>
                        </a:prstClr>
                      </a:outerShdw>
                    </a:effectLst>
                    <a:latin typeface="新宋体" panose="02010609030101010101" pitchFamily="49" charset="-122"/>
                    <a:ea typeface="新宋体" panose="02010609030101010101" pitchFamily="49" charset="-122"/>
                    <a:cs typeface="+mn-cs"/>
                  </a:defRPr>
                </a:pPr>
                <a:endParaRPr lang="zh-CN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eparator>
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总表!$F$30:$F$32</c:f>
              <c:strCache>
                <c:ptCount val="3"/>
                <c:pt idx="0">
                  <c:v>行动点</c:v>
                </c:pt>
                <c:pt idx="1">
                  <c:v>精神力</c:v>
                </c:pt>
                <c:pt idx="2">
                  <c:v>体力</c:v>
                </c:pt>
              </c:strCache>
            </c:strRef>
          </c:cat>
          <c:val>
            <c:numRef>
              <c:f>总表!$H$30:$H$32</c:f>
              <c:numCache>
                <c:formatCode>General</c:formatCode>
                <c:ptCount val="3"/>
                <c:pt idx="0">
                  <c:v>11</c:v>
                </c:pt>
                <c:pt idx="1">
                  <c:v>30</c:v>
                </c:pt>
                <c:pt idx="2">
                  <c:v>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78C-4AA4-8100-DE908BB1696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399381984"/>
        <c:axId val="1399388704"/>
      </c:barChart>
      <c:barChart>
        <c:barDir val="bar"/>
        <c:grouping val="stacked"/>
        <c:varyColors val="0"/>
        <c:ser>
          <c:idx val="0"/>
          <c:order val="0"/>
          <c:tx>
            <c:strRef>
              <c:f>总表!$G$29</c:f>
              <c:strCache>
                <c:ptCount val="1"/>
                <c:pt idx="0">
                  <c:v>当前值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Pt>
            <c:idx val="0"/>
            <c:invertIfNegative val="0"/>
            <c:bubble3D val="0"/>
            <c:spPr>
              <a:solidFill>
                <a:srgbClr val="00B050"/>
              </a:soli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2-078C-4AA4-8100-DE908BB16966}"/>
              </c:ext>
            </c:extLst>
          </c:dPt>
          <c:dPt>
            <c:idx val="1"/>
            <c:invertIfNegative val="0"/>
            <c:bubble3D val="0"/>
            <c:spPr>
              <a:solidFill>
                <a:srgbClr val="0070C0"/>
              </a:soli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4-078C-4AA4-8100-DE908BB16966}"/>
              </c:ext>
            </c:extLst>
          </c:dPt>
          <c:dPt>
            <c:idx val="2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6-078C-4AA4-8100-DE908BB16966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zh-CN" sz="11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新宋体" panose="02010609030101010101" pitchFamily="49" charset="-122"/>
                    <a:ea typeface="新宋体" panose="02010609030101010101" pitchFamily="49" charset="-122"/>
                    <a:cs typeface="+mn-cs"/>
                  </a:defRPr>
                </a:pPr>
                <a:endParaRPr lang="zh-CN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eparator>
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总表!$F$30:$F$32</c:f>
              <c:strCache>
                <c:ptCount val="3"/>
                <c:pt idx="0">
                  <c:v>行动点</c:v>
                </c:pt>
                <c:pt idx="1">
                  <c:v>精神力</c:v>
                </c:pt>
                <c:pt idx="2">
                  <c:v>体力</c:v>
                </c:pt>
              </c:strCache>
            </c:strRef>
          </c:cat>
          <c:val>
            <c:numRef>
              <c:f>总表!$G$30:$G$32</c:f>
              <c:numCache>
                <c:formatCode>General</c:formatCode>
                <c:ptCount val="3"/>
                <c:pt idx="0">
                  <c:v>11</c:v>
                </c:pt>
                <c:pt idx="1">
                  <c:v>30</c:v>
                </c:pt>
                <c:pt idx="2">
                  <c:v>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078C-4AA4-8100-DE908BB1696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017920432"/>
        <c:axId val="1017922352"/>
      </c:barChart>
      <c:catAx>
        <c:axId val="139938198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399388704"/>
        <c:crosses val="autoZero"/>
        <c:auto val="1"/>
        <c:lblAlgn val="ctr"/>
        <c:lblOffset val="100"/>
        <c:noMultiLvlLbl val="0"/>
      </c:catAx>
      <c:valAx>
        <c:axId val="1399388704"/>
        <c:scaling>
          <c:orientation val="minMax"/>
          <c:max val="100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399381984"/>
        <c:crosses val="autoZero"/>
        <c:crossBetween val="between"/>
      </c:valAx>
      <c:valAx>
        <c:axId val="1017922352"/>
        <c:scaling>
          <c:orientation val="minMax"/>
          <c:max val="60"/>
        </c:scaling>
        <c:delete val="1"/>
        <c:axPos val="t"/>
        <c:numFmt formatCode="General" sourceLinked="1"/>
        <c:majorTickMark val="none"/>
        <c:minorTickMark val="none"/>
        <c:tickLblPos val="nextTo"/>
        <c:crossAx val="1017920432"/>
        <c:crosses val="max"/>
        <c:crossBetween val="between"/>
      </c:valAx>
      <c:catAx>
        <c:axId val="1017920432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1017922352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 lang="zh-CN"/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zh-CN"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新宋体" panose="02010609030101010101" pitchFamily="49" charset="-122"/>
                <a:ea typeface="新宋体" panose="02010609030101010101" pitchFamily="49" charset="-122"/>
                <a:cs typeface="+mn-cs"/>
              </a:defRPr>
            </a:pPr>
            <a:r>
              <a:rPr lang="zh-CN" altLang="en-US">
                <a:latin typeface="新宋体" panose="02010609030101010101" pitchFamily="49" charset="-122"/>
                <a:ea typeface="新宋体" panose="02010609030101010101" pitchFamily="49" charset="-122"/>
              </a:rPr>
              <a:t>防具额外生命状态</a:t>
            </a:r>
            <a:endParaRPr lang="zh-CN">
              <a:latin typeface="新宋体" panose="02010609030101010101" pitchFamily="49" charset="-122"/>
              <a:ea typeface="新宋体" panose="02010609030101010101" pitchFamily="49" charset="-122"/>
            </a:endParaRPr>
          </a:p>
        </c:rich>
      </c:tx>
      <c:layout>
        <c:manualLayout>
          <c:xMode val="edge"/>
          <c:yMode val="edge"/>
          <c:x val="5.2162849872773497E-2"/>
          <c:y val="2.5445292620865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zh-CN"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新宋体" panose="02010609030101010101" pitchFamily="49" charset="-122"/>
              <a:ea typeface="新宋体" panose="02010609030101010101" pitchFamily="49" charset="-122"/>
              <a:cs typeface="+mn-cs"/>
            </a:defRPr>
          </a:pPr>
          <a:endParaRPr lang="zh-CN"/>
        </a:p>
      </c:txPr>
    </c:title>
    <c:autoTitleDeleted val="0"/>
    <c:plotArea>
      <c:layout/>
      <c:barChart>
        <c:barDir val="bar"/>
        <c:grouping val="stacked"/>
        <c:varyColors val="0"/>
        <c:ser>
          <c:idx val="1"/>
          <c:order val="1"/>
          <c:tx>
            <c:strRef>
              <c:f>总表!$H$35</c:f>
              <c:strCache>
                <c:ptCount val="1"/>
                <c:pt idx="0">
                  <c:v>最大值</c:v>
                </c:pt>
              </c:strCache>
            </c:strRef>
          </c:tx>
          <c:spPr>
            <a:noFill/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0">
                <a:spAutoFit/>
              </a:bodyPr>
              <a:lstStyle/>
              <a:p>
                <a:pPr algn="ctr">
                  <a:defRPr lang="en-US" altLang="zh-CN" sz="11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effectLst>
                      <a:glow rad="63500">
                        <a:schemeClr val="accent1">
                          <a:satMod val="175000"/>
                          <a:alpha val="40000"/>
                        </a:schemeClr>
                      </a:glow>
                      <a:outerShdw blurRad="50800" dist="38100" dir="2700000" algn="tl" rotWithShape="0">
                        <a:prstClr val="black">
                          <a:alpha val="40000"/>
                        </a:prstClr>
                      </a:outerShdw>
                    </a:effectLst>
                    <a:latin typeface="新宋体" panose="02010609030101010101" pitchFamily="49" charset="-122"/>
                    <a:ea typeface="新宋体" panose="02010609030101010101" pitchFamily="49" charset="-122"/>
                    <a:cs typeface="+mn-cs"/>
                  </a:defRPr>
                </a:pPr>
                <a:endParaRPr lang="zh-CN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总表!$F$36:$F$39</c:f>
              <c:strCache>
                <c:ptCount val="4"/>
                <c:pt idx="0">
                  <c:v>头部</c:v>
                </c:pt>
                <c:pt idx="1">
                  <c:v>左右手</c:v>
                </c:pt>
                <c:pt idx="2">
                  <c:v>躯干</c:v>
                </c:pt>
                <c:pt idx="3">
                  <c:v>左右脚</c:v>
                </c:pt>
              </c:strCache>
            </c:strRef>
          </c:cat>
          <c:val>
            <c:numRef>
              <c:f>总表!$H$36:$H$39</c:f>
              <c:numCache>
                <c:formatCode>General</c:formatCode>
                <c:ptCount val="4"/>
                <c:pt idx="0">
                  <c:v>5</c:v>
                </c:pt>
                <c:pt idx="1">
                  <c:v>8</c:v>
                </c:pt>
                <c:pt idx="2">
                  <c:v>10</c:v>
                </c:pt>
                <c:pt idx="3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E4F-4D42-AC13-BF27071AC41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399381984"/>
        <c:axId val="1399388704"/>
      </c:barChart>
      <c:barChart>
        <c:barDir val="bar"/>
        <c:grouping val="stacked"/>
        <c:varyColors val="0"/>
        <c:ser>
          <c:idx val="0"/>
          <c:order val="0"/>
          <c:tx>
            <c:strRef>
              <c:f>总表!$G$35</c:f>
              <c:strCache>
                <c:ptCount val="1"/>
                <c:pt idx="0">
                  <c:v>当前值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0">
                <a:spAutoFit/>
              </a:bodyPr>
              <a:lstStyle/>
              <a:p>
                <a:pPr algn="ctr">
                  <a:defRPr lang="en-US" altLang="zh-CN" sz="11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新宋体" panose="02010609030101010101" pitchFamily="49" charset="-122"/>
                    <a:ea typeface="新宋体" panose="02010609030101010101" pitchFamily="49" charset="-122"/>
                    <a:cs typeface="+mn-cs"/>
                  </a:defRPr>
                </a:pPr>
                <a:endParaRPr lang="zh-CN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总表!$F$36:$F$39</c:f>
              <c:strCache>
                <c:ptCount val="4"/>
                <c:pt idx="0">
                  <c:v>头部</c:v>
                </c:pt>
                <c:pt idx="1">
                  <c:v>左右手</c:v>
                </c:pt>
                <c:pt idx="2">
                  <c:v>躯干</c:v>
                </c:pt>
                <c:pt idx="3">
                  <c:v>左右脚</c:v>
                </c:pt>
              </c:strCache>
            </c:strRef>
          </c:cat>
          <c:val>
            <c:numRef>
              <c:f>总表!$G$36:$G$39</c:f>
              <c:numCache>
                <c:formatCode>General</c:formatCode>
                <c:ptCount val="4"/>
                <c:pt idx="0">
                  <c:v>5</c:v>
                </c:pt>
                <c:pt idx="1">
                  <c:v>8</c:v>
                </c:pt>
                <c:pt idx="2">
                  <c:v>10</c:v>
                </c:pt>
                <c:pt idx="3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E4F-4D42-AC13-BF27071AC41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017920432"/>
        <c:axId val="1017922352"/>
      </c:barChart>
      <c:catAx>
        <c:axId val="139938198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399388704"/>
        <c:crosses val="autoZero"/>
        <c:auto val="1"/>
        <c:lblAlgn val="ctr"/>
        <c:lblOffset val="100"/>
        <c:noMultiLvlLbl val="0"/>
      </c:catAx>
      <c:valAx>
        <c:axId val="1399388704"/>
        <c:scaling>
          <c:orientation val="minMax"/>
          <c:max val="30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399381984"/>
        <c:crosses val="autoZero"/>
        <c:crossBetween val="between"/>
      </c:valAx>
      <c:valAx>
        <c:axId val="1017922352"/>
        <c:scaling>
          <c:orientation val="minMax"/>
          <c:max val="60"/>
        </c:scaling>
        <c:delete val="1"/>
        <c:axPos val="t"/>
        <c:numFmt formatCode="General" sourceLinked="1"/>
        <c:majorTickMark val="none"/>
        <c:minorTickMark val="none"/>
        <c:tickLblPos val="nextTo"/>
        <c:crossAx val="1017920432"/>
        <c:crosses val="max"/>
        <c:crossBetween val="between"/>
      </c:valAx>
      <c:catAx>
        <c:axId val="1017920432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1017922352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 lang="zh-CN"/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20">
  <cs:axisTitle>
    <cs:lnRef idx="0"/>
    <cs:fillRef idx="0"/>
    <cs:effectRef idx="0"/>
    <cs:fontRef idx="minor">
      <a:schemeClr val="lt1">
        <a:lumMod val="75000"/>
      </a:schemeClr>
    </cs:fontRef>
    <cs:defRPr sz="900" b="1" kern="1200"/>
  </cs:axisTitle>
  <cs:categoryAxis>
    <cs:lnRef idx="0"/>
    <cs:fillRef idx="0"/>
    <cs:effectRef idx="0"/>
    <cs:fontRef idx="minor">
      <a:schemeClr val="lt1">
        <a:lumMod val="75000"/>
      </a:schemeClr>
    </cs:fontRef>
    <cs:defRPr sz="900" kern="1200"/>
  </cs:categoryAxis>
  <cs:chartArea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lt1">
        <a:lumMod val="75000"/>
      </a:schemeClr>
    </cs:fontRef>
    <cs:spPr>
      <a:solidFill>
        <a:schemeClr val="dk1">
          <a:lumMod val="75000"/>
          <a:lumOff val="25000"/>
        </a:schemeClr>
      </a:solidFill>
      <a:ln>
        <a:solidFill>
          <a:schemeClr val="lt1">
            <a:lumMod val="75000"/>
          </a:schemeClr>
        </a:solidFill>
      </a:ln>
      <a:effectLst>
        <a:glow rad="63500">
          <a:schemeClr val="lt1">
            <a:lumMod val="75000"/>
            <a:alpha val="15000"/>
          </a:schemeClr>
        </a:glow>
      </a:effectLst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solidFill>
        <a:schemeClr val="phClr">
          <a:alpha val="69804"/>
        </a:schemeClr>
      </a:solidFill>
      <a:ln w="9525" cap="flat" cmpd="sng" algn="ctr">
        <a:solidFill>
          <a:schemeClr val="phClr">
            <a:alpha val="69804"/>
          </a:schemeClr>
        </a:solidFill>
        <a:miter lim="800000"/>
      </a:ln>
      <a:effectLst>
        <a:glow rad="76200">
          <a:schemeClr val="phClr">
            <a:satMod val="175000"/>
            <a:alpha val="34000"/>
          </a:schemeClr>
        </a:glow>
      </a:effectLst>
    </cs:spPr>
  </cs:dataPoint>
  <cs:dataPoint3D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solidFill>
        <a:schemeClr val="phClr">
          <a:alpha val="69804"/>
        </a:schemeClr>
      </a:solidFill>
      <a:ln w="9525" cap="flat" cmpd="sng" algn="ctr">
        <a:solidFill>
          <a:schemeClr val="phClr">
            <a:alpha val="69804"/>
          </a:schemeClr>
        </a:solidFill>
        <a:miter lim="800000"/>
      </a:ln>
      <a:effectLst>
        <a:glow rad="76200">
          <a:schemeClr val="phClr">
            <a:satMod val="175000"/>
            <a:alpha val="34000"/>
          </a:schemeClr>
        </a:glow>
      </a:effectLst>
    </cs:spPr>
  </cs:dataPoint3D>
  <cs:dataPointLine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ln w="28575" cap="rnd">
        <a:solidFill>
          <a:schemeClr val="phClr"/>
        </a:solidFill>
      </a:ln>
      <a:effectLst>
        <a:glow rad="76200">
          <a:schemeClr val="phClr">
            <a:satMod val="175000"/>
            <a:alpha val="34000"/>
          </a:schemeClr>
        </a:glow>
      </a:effectLst>
    </cs:spPr>
  </cs:dataPointLine>
  <cs:dataPointMarker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solidFill>
        <a:schemeClr val="phClr">
          <a:lumMod val="60000"/>
          <a:lumOff val="40000"/>
        </a:schemeClr>
      </a:solidFill>
      <a:effectLst>
        <a:glow rad="63500">
          <a:schemeClr val="phClr">
            <a:satMod val="175000"/>
            <a:alpha val="25000"/>
          </a:schemeClr>
        </a:glow>
      </a:effectLst>
    </cs:spPr>
  </cs:dataPointMarker>
  <cs:dataPointMarkerLayout symbol="circle" size="4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dk1">
            <a:lumMod val="50000"/>
            <a:lumOff val="50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75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0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0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lt1">
        <a:lumMod val="7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85000"/>
      </a:schemeClr>
    </cs:fontRef>
    <cs:defRPr sz="1400" b="0" kern="1200" cap="none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>
            <a:alpha val="50000"/>
          </a:schemeClr>
        </a:solidFill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>
          <a:lumMod val="85000"/>
        </a:schemeClr>
      </a:solidFill>
      <a:ln w="9525">
        <a:solidFill>
          <a:schemeClr val="dk1">
            <a:lumMod val="50000"/>
          </a:schemeClr>
        </a:solidFill>
        <a:round/>
      </a:ln>
    </cs:spPr>
  </cs:upBar>
  <cs:valueAxis>
    <cs:lnRef idx="0"/>
    <cs:fillRef idx="0"/>
    <cs:effectRef idx="0"/>
    <cs:fontRef idx="minor">
      <a:schemeClr val="lt1">
        <a:lumMod val="7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304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304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6</xdr:col>
      <xdr:colOff>0</xdr:colOff>
      <xdr:row>17</xdr:row>
      <xdr:rowOff>15240</xdr:rowOff>
    </xdr:to>
    <xdr:graphicFrame macro="">
      <xdr:nvGraphicFramePr>
        <xdr:cNvPr id="2" name="图表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17</xdr:row>
      <xdr:rowOff>7620</xdr:rowOff>
    </xdr:from>
    <xdr:to>
      <xdr:col>11</xdr:col>
      <xdr:colOff>274320</xdr:colOff>
      <xdr:row>48</xdr:row>
      <xdr:rowOff>30480</xdr:rowOff>
    </xdr:to>
    <xdr:graphicFrame macro="">
      <xdr:nvGraphicFramePr>
        <xdr:cNvPr id="4" name="图表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</xdr:col>
      <xdr:colOff>266700</xdr:colOff>
      <xdr:row>17</xdr:row>
      <xdr:rowOff>7620</xdr:rowOff>
    </xdr:from>
    <xdr:to>
      <xdr:col>22</xdr:col>
      <xdr:colOff>541020</xdr:colOff>
      <xdr:row>48</xdr:row>
      <xdr:rowOff>30480</xdr:rowOff>
    </xdr:to>
    <xdr:graphicFrame macro="">
      <xdr:nvGraphicFramePr>
        <xdr:cNvPr id="5" name="图表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0</xdr:colOff>
      <xdr:row>0</xdr:row>
      <xdr:rowOff>0</xdr:rowOff>
    </xdr:from>
    <xdr:to>
      <xdr:col>14</xdr:col>
      <xdr:colOff>114300</xdr:colOff>
      <xdr:row>17</xdr:row>
      <xdr:rowOff>15240</xdr:rowOff>
    </xdr:to>
    <xdr:graphicFrame macro="">
      <xdr:nvGraphicFramePr>
        <xdr:cNvPr id="6" name="图表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14</xdr:col>
      <xdr:colOff>0</xdr:colOff>
      <xdr:row>0</xdr:row>
      <xdr:rowOff>0</xdr:rowOff>
    </xdr:from>
    <xdr:to>
      <xdr:col>22</xdr:col>
      <xdr:colOff>114300</xdr:colOff>
      <xdr:row>17</xdr:row>
      <xdr:rowOff>15240</xdr:rowOff>
    </xdr:to>
    <xdr:graphicFrame macro="">
      <xdr:nvGraphicFramePr>
        <xdr:cNvPr id="7" name="图表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comments" Target="../comments5.xml"/><Relationship Id="rId1" Type="http://schemas.openxmlformats.org/officeDocument/2006/relationships/vmlDrawing" Target="../drawings/vmlDrawing5.v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comments" Target="../comments6.xml"/><Relationship Id="rId1" Type="http://schemas.openxmlformats.org/officeDocument/2006/relationships/vmlDrawing" Target="../drawings/vmlDrawing6.v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comments" Target="../comments4.xml"/><Relationship Id="rId1" Type="http://schemas.openxmlformats.org/officeDocument/2006/relationships/vmlDrawing" Target="../drawings/vmlDrawing4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6"/>
  <dimension ref="A1"/>
  <sheetViews>
    <sheetView workbookViewId="0">
      <selection activeCell="L52" sqref="L52"/>
    </sheetView>
  </sheetViews>
  <sheetFormatPr defaultColWidth="9" defaultRowHeight="14" x14ac:dyDescent="0.3"/>
  <sheetData/>
  <phoneticPr fontId="47" type="noConversion"/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1"/>
  <dimension ref="A1:V27"/>
  <sheetViews>
    <sheetView workbookViewId="0">
      <selection activeCell="R11" sqref="R11:V12"/>
    </sheetView>
  </sheetViews>
  <sheetFormatPr defaultColWidth="9" defaultRowHeight="20.399999999999999" customHeight="1" x14ac:dyDescent="0.3"/>
  <sheetData>
    <row r="1" spans="1:22" ht="20.399999999999999" customHeight="1" x14ac:dyDescent="0.3">
      <c r="A1" s="198" t="s">
        <v>59</v>
      </c>
      <c r="B1" s="198"/>
      <c r="C1" s="198"/>
      <c r="D1" s="198"/>
      <c r="E1" s="198"/>
      <c r="F1" s="198"/>
      <c r="G1" s="198"/>
    </row>
    <row r="2" spans="1:22" ht="20.399999999999999" customHeight="1" x14ac:dyDescent="0.3">
      <c r="A2" s="198"/>
      <c r="B2" s="198"/>
      <c r="C2" s="198"/>
      <c r="D2" s="198"/>
      <c r="E2" s="198"/>
      <c r="F2" s="198"/>
      <c r="G2" s="198"/>
    </row>
    <row r="3" spans="1:22" ht="20.399999999999999" customHeight="1" x14ac:dyDescent="0.3">
      <c r="A3" s="175" t="s">
        <v>255</v>
      </c>
      <c r="B3" s="177"/>
      <c r="C3" s="175">
        <f ca="1">IF(总表!C36=1,INT(INDIRECT("各种技能"&amp;"!G21")/6),INT(INDIRECT("各种技能"&amp;"!G21")/8))</f>
        <v>3</v>
      </c>
      <c r="D3" s="176"/>
      <c r="E3" s="176"/>
      <c r="F3" s="176"/>
      <c r="G3" s="177"/>
    </row>
    <row r="4" spans="1:22" ht="20.399999999999999" customHeight="1" x14ac:dyDescent="0.3">
      <c r="A4" s="1" t="s">
        <v>157</v>
      </c>
      <c r="B4" s="1" t="s">
        <v>156</v>
      </c>
      <c r="C4" s="175" t="s">
        <v>256</v>
      </c>
      <c r="D4" s="176"/>
      <c r="E4" s="176"/>
      <c r="F4" s="176"/>
      <c r="G4" s="177"/>
      <c r="H4" s="175" t="s">
        <v>257</v>
      </c>
      <c r="I4" s="176"/>
      <c r="J4" s="176"/>
      <c r="K4" s="176"/>
      <c r="L4" s="177"/>
      <c r="M4" s="175" t="s">
        <v>258</v>
      </c>
      <c r="N4" s="176"/>
      <c r="O4" s="176"/>
      <c r="P4" s="176"/>
      <c r="Q4" s="177"/>
      <c r="R4" s="175" t="s">
        <v>259</v>
      </c>
      <c r="S4" s="176"/>
      <c r="T4" s="176"/>
      <c r="U4" s="176"/>
      <c r="V4" s="177"/>
    </row>
    <row r="5" spans="1:22" ht="20.399999999999999" customHeight="1" x14ac:dyDescent="0.3">
      <c r="A5" s="178" t="s">
        <v>284</v>
      </c>
      <c r="B5" s="178" t="s">
        <v>116</v>
      </c>
      <c r="C5" s="202" t="s">
        <v>365</v>
      </c>
      <c r="D5" s="203"/>
      <c r="E5" s="203"/>
      <c r="F5" s="203"/>
      <c r="G5" s="204"/>
      <c r="H5" s="161" t="s">
        <v>366</v>
      </c>
      <c r="I5" s="162"/>
      <c r="J5" s="162"/>
      <c r="K5" s="162"/>
      <c r="L5" s="163"/>
      <c r="M5" s="161" t="s">
        <v>367</v>
      </c>
      <c r="N5" s="162"/>
      <c r="O5" s="162"/>
      <c r="P5" s="162"/>
      <c r="Q5" s="163"/>
      <c r="R5" s="161" t="s">
        <v>368</v>
      </c>
      <c r="S5" s="162"/>
      <c r="T5" s="162"/>
      <c r="U5" s="162"/>
      <c r="V5" s="163"/>
    </row>
    <row r="6" spans="1:22" ht="20.399999999999999" customHeight="1" x14ac:dyDescent="0.3">
      <c r="A6" s="178"/>
      <c r="B6" s="178"/>
      <c r="C6" s="205"/>
      <c r="D6" s="206"/>
      <c r="E6" s="206"/>
      <c r="F6" s="206"/>
      <c r="G6" s="207"/>
      <c r="H6" s="166"/>
      <c r="I6" s="167"/>
      <c r="J6" s="167"/>
      <c r="K6" s="167"/>
      <c r="L6" s="168"/>
      <c r="M6" s="166"/>
      <c r="N6" s="167"/>
      <c r="O6" s="167"/>
      <c r="P6" s="167"/>
      <c r="Q6" s="168"/>
      <c r="R6" s="166"/>
      <c r="S6" s="167"/>
      <c r="T6" s="167"/>
      <c r="U6" s="167"/>
      <c r="V6" s="168"/>
    </row>
    <row r="7" spans="1:22" ht="20.399999999999999" customHeight="1" x14ac:dyDescent="0.3">
      <c r="A7" s="178" t="s">
        <v>285</v>
      </c>
      <c r="B7" s="178" t="s">
        <v>116</v>
      </c>
      <c r="C7" s="202" t="s">
        <v>369</v>
      </c>
      <c r="D7" s="203"/>
      <c r="E7" s="203"/>
      <c r="F7" s="203"/>
      <c r="G7" s="204"/>
      <c r="H7" s="161" t="s">
        <v>350</v>
      </c>
      <c r="I7" s="162"/>
      <c r="J7" s="162"/>
      <c r="K7" s="162"/>
      <c r="L7" s="163"/>
      <c r="M7" s="161" t="s">
        <v>370</v>
      </c>
      <c r="N7" s="162"/>
      <c r="O7" s="162"/>
      <c r="P7" s="162"/>
      <c r="Q7" s="163"/>
      <c r="R7" s="161" t="s">
        <v>286</v>
      </c>
      <c r="S7" s="162"/>
      <c r="T7" s="162"/>
      <c r="U7" s="162"/>
      <c r="V7" s="163"/>
    </row>
    <row r="8" spans="1:22" ht="20.399999999999999" customHeight="1" x14ac:dyDescent="0.3">
      <c r="A8" s="178"/>
      <c r="B8" s="178"/>
      <c r="C8" s="205"/>
      <c r="D8" s="206"/>
      <c r="E8" s="206"/>
      <c r="F8" s="206"/>
      <c r="G8" s="207"/>
      <c r="H8" s="166"/>
      <c r="I8" s="167"/>
      <c r="J8" s="167"/>
      <c r="K8" s="167"/>
      <c r="L8" s="168"/>
      <c r="M8" s="166"/>
      <c r="N8" s="167"/>
      <c r="O8" s="167"/>
      <c r="P8" s="167"/>
      <c r="Q8" s="168"/>
      <c r="R8" s="166"/>
      <c r="S8" s="167"/>
      <c r="T8" s="167"/>
      <c r="U8" s="167"/>
      <c r="V8" s="168"/>
    </row>
    <row r="9" spans="1:22" ht="20.399999999999999" customHeight="1" x14ac:dyDescent="0.3">
      <c r="A9" s="178" t="s">
        <v>287</v>
      </c>
      <c r="B9" s="178" t="s">
        <v>116</v>
      </c>
      <c r="C9" s="202" t="s">
        <v>371</v>
      </c>
      <c r="D9" s="203"/>
      <c r="E9" s="203"/>
      <c r="F9" s="203"/>
      <c r="G9" s="204"/>
      <c r="H9" s="208" t="s">
        <v>378</v>
      </c>
      <c r="I9" s="162"/>
      <c r="J9" s="162"/>
      <c r="K9" s="162"/>
      <c r="L9" s="163"/>
      <c r="M9" s="161" t="s">
        <v>372</v>
      </c>
      <c r="N9" s="162"/>
      <c r="O9" s="162"/>
      <c r="P9" s="162"/>
      <c r="Q9" s="163"/>
      <c r="R9" s="161" t="s">
        <v>373</v>
      </c>
      <c r="S9" s="162"/>
      <c r="T9" s="162"/>
      <c r="U9" s="162"/>
      <c r="V9" s="163"/>
    </row>
    <row r="10" spans="1:22" ht="20.399999999999999" customHeight="1" x14ac:dyDescent="0.3">
      <c r="A10" s="178"/>
      <c r="B10" s="178"/>
      <c r="C10" s="205"/>
      <c r="D10" s="206"/>
      <c r="E10" s="206"/>
      <c r="F10" s="206"/>
      <c r="G10" s="207"/>
      <c r="H10" s="166"/>
      <c r="I10" s="167"/>
      <c r="J10" s="167"/>
      <c r="K10" s="167"/>
      <c r="L10" s="168"/>
      <c r="M10" s="166"/>
      <c r="N10" s="167"/>
      <c r="O10" s="167"/>
      <c r="P10" s="167"/>
      <c r="Q10" s="168"/>
      <c r="R10" s="166"/>
      <c r="S10" s="167"/>
      <c r="T10" s="167"/>
      <c r="U10" s="167"/>
      <c r="V10" s="168"/>
    </row>
    <row r="11" spans="1:22" ht="20.399999999999999" customHeight="1" x14ac:dyDescent="0.3">
      <c r="A11" s="178" t="s">
        <v>288</v>
      </c>
      <c r="B11" s="178" t="s">
        <v>116</v>
      </c>
      <c r="C11" s="210" t="s">
        <v>379</v>
      </c>
      <c r="D11" s="203"/>
      <c r="E11" s="203"/>
      <c r="F11" s="203"/>
      <c r="G11" s="204"/>
      <c r="H11" s="161" t="s">
        <v>374</v>
      </c>
      <c r="I11" s="162"/>
      <c r="J11" s="162"/>
      <c r="K11" s="162"/>
      <c r="L11" s="163"/>
      <c r="M11" s="161" t="s">
        <v>375</v>
      </c>
      <c r="N11" s="162"/>
      <c r="O11" s="162"/>
      <c r="P11" s="162"/>
      <c r="Q11" s="163"/>
      <c r="R11" s="161" t="s">
        <v>376</v>
      </c>
      <c r="S11" s="162"/>
      <c r="T11" s="162"/>
      <c r="U11" s="162"/>
      <c r="V11" s="163"/>
    </row>
    <row r="12" spans="1:22" ht="20.399999999999999" customHeight="1" x14ac:dyDescent="0.3">
      <c r="A12" s="196"/>
      <c r="B12" s="196"/>
      <c r="C12" s="211"/>
      <c r="D12" s="212"/>
      <c r="E12" s="212"/>
      <c r="F12" s="212"/>
      <c r="G12" s="213"/>
      <c r="H12" s="164"/>
      <c r="I12" s="145"/>
      <c r="J12" s="145"/>
      <c r="K12" s="145"/>
      <c r="L12" s="165"/>
      <c r="M12" s="164"/>
      <c r="N12" s="145"/>
      <c r="O12" s="145"/>
      <c r="P12" s="145"/>
      <c r="Q12" s="165"/>
      <c r="R12" s="164"/>
      <c r="S12" s="145"/>
      <c r="T12" s="145"/>
      <c r="U12" s="145"/>
      <c r="V12" s="165"/>
    </row>
    <row r="13" spans="1:22" ht="20.399999999999999" customHeight="1" x14ac:dyDescent="0.3">
      <c r="A13" s="198" t="s">
        <v>289</v>
      </c>
      <c r="B13" s="198"/>
      <c r="C13" s="198"/>
      <c r="D13" s="198"/>
      <c r="E13" s="198"/>
      <c r="F13" s="198"/>
      <c r="G13" s="198"/>
      <c r="H13" s="198"/>
      <c r="I13" s="198"/>
      <c r="J13" s="198"/>
      <c r="K13" s="198"/>
      <c r="L13" s="198"/>
      <c r="M13" s="198"/>
      <c r="N13" s="198"/>
      <c r="O13" s="198"/>
      <c r="P13" s="198"/>
      <c r="Q13" s="198"/>
      <c r="R13" s="198"/>
      <c r="S13" s="198"/>
      <c r="T13" s="198"/>
      <c r="U13" s="198"/>
      <c r="V13" s="198"/>
    </row>
    <row r="14" spans="1:22" ht="20.399999999999999" customHeight="1" x14ac:dyDescent="0.3">
      <c r="A14" s="198"/>
      <c r="B14" s="198"/>
      <c r="C14" s="198"/>
      <c r="D14" s="198"/>
      <c r="E14" s="198"/>
      <c r="F14" s="198"/>
      <c r="G14" s="198"/>
      <c r="H14" s="198"/>
      <c r="I14" s="198"/>
      <c r="J14" s="198"/>
      <c r="K14" s="198"/>
      <c r="L14" s="198"/>
      <c r="M14" s="198"/>
      <c r="N14" s="198"/>
      <c r="O14" s="198"/>
      <c r="P14" s="198"/>
      <c r="Q14" s="198"/>
      <c r="R14" s="198"/>
      <c r="S14" s="198"/>
      <c r="T14" s="198"/>
      <c r="U14" s="198"/>
      <c r="V14" s="198"/>
    </row>
    <row r="15" spans="1:22" ht="20.399999999999999" customHeight="1" x14ac:dyDescent="0.3">
      <c r="A15" s="1" t="s">
        <v>157</v>
      </c>
      <c r="B15" s="1" t="s">
        <v>160</v>
      </c>
      <c r="C15" s="1" t="s">
        <v>196</v>
      </c>
      <c r="D15" s="171" t="s">
        <v>278</v>
      </c>
      <c r="E15" s="171"/>
      <c r="F15" s="171"/>
      <c r="G15" s="171"/>
      <c r="H15" s="171"/>
      <c r="I15" s="171"/>
      <c r="J15" s="171"/>
      <c r="K15" s="171"/>
      <c r="L15" s="171"/>
      <c r="M15" s="171"/>
      <c r="N15" s="171"/>
      <c r="O15" s="171"/>
      <c r="P15" s="171"/>
      <c r="Q15" s="1" t="s">
        <v>197</v>
      </c>
      <c r="R15" s="171" t="s">
        <v>200</v>
      </c>
      <c r="S15" s="171"/>
      <c r="T15" s="171"/>
      <c r="U15" s="1" t="s">
        <v>277</v>
      </c>
      <c r="V15" s="1" t="s">
        <v>81</v>
      </c>
    </row>
    <row r="16" spans="1:22" ht="20.399999999999999" customHeight="1" x14ac:dyDescent="0.3">
      <c r="A16" s="178" t="s">
        <v>290</v>
      </c>
      <c r="B16" s="178" t="s">
        <v>11</v>
      </c>
      <c r="C16" s="178">
        <f ca="1">LOOKUP(INDIRECT("rc[-1]",),INDIRECT("总表"&amp;"!A29:A34"),INDIRECT("总表"&amp;"!B29:B34"))</f>
        <v>50</v>
      </c>
      <c r="D16" s="158" t="s">
        <v>291</v>
      </c>
      <c r="E16" s="158"/>
      <c r="F16" s="158"/>
      <c r="G16" s="158"/>
      <c r="H16" s="158"/>
      <c r="I16" s="158"/>
      <c r="J16" s="158"/>
      <c r="K16" s="158"/>
      <c r="L16" s="158"/>
      <c r="M16" s="158"/>
      <c r="N16" s="158"/>
      <c r="O16" s="158"/>
      <c r="P16" s="158"/>
      <c r="Q16" s="178">
        <v>1</v>
      </c>
      <c r="R16" s="178">
        <v>0</v>
      </c>
      <c r="S16" s="178" t="s">
        <v>23</v>
      </c>
      <c r="T16" s="178" t="str">
        <f t="shared" ref="T16:T20" si="0">IF(Q16&lt;10,"6",IF(Q16&lt;20,"9",IF(Q16&lt;30,"12",18)))</f>
        <v>6</v>
      </c>
      <c r="U16" s="178">
        <v>5</v>
      </c>
      <c r="V16" s="209">
        <f ca="1">IF(SUM(C16,Q16)&lt;=50,SUM(C16,Q16),IF(SUM(C16,Q16)&lt;=80,(SUM(C16,Q16)-50)*0.7+50,(SUM(C16,Q16)-80)*0.4+71))</f>
        <v>50.7</v>
      </c>
    </row>
    <row r="17" spans="1:22" ht="20.399999999999999" customHeight="1" x14ac:dyDescent="0.3">
      <c r="A17" s="178"/>
      <c r="B17" s="178"/>
      <c r="C17" s="178"/>
      <c r="D17" s="158"/>
      <c r="E17" s="158"/>
      <c r="F17" s="158"/>
      <c r="G17" s="158"/>
      <c r="H17" s="158"/>
      <c r="I17" s="158"/>
      <c r="J17" s="158"/>
      <c r="K17" s="158"/>
      <c r="L17" s="158"/>
      <c r="M17" s="158"/>
      <c r="N17" s="158"/>
      <c r="O17" s="158"/>
      <c r="P17" s="158"/>
      <c r="Q17" s="178"/>
      <c r="R17" s="178"/>
      <c r="S17" s="178"/>
      <c r="T17" s="178"/>
      <c r="U17" s="178"/>
      <c r="V17" s="209"/>
    </row>
    <row r="18" spans="1:22" ht="20.399999999999999" customHeight="1" x14ac:dyDescent="0.3">
      <c r="A18" s="178" t="s">
        <v>292</v>
      </c>
      <c r="B18" s="178" t="s">
        <v>11</v>
      </c>
      <c r="C18" s="178">
        <f t="shared" ref="C18" ca="1" si="1">LOOKUP(INDIRECT("rc[-1]",),INDIRECT("总表"&amp;"!A29:A34"),INDIRECT("总表"&amp;"!B29:B34"))</f>
        <v>50</v>
      </c>
      <c r="D18" s="158" t="s">
        <v>293</v>
      </c>
      <c r="E18" s="158"/>
      <c r="F18" s="158"/>
      <c r="G18" s="158"/>
      <c r="H18" s="158"/>
      <c r="I18" s="158"/>
      <c r="J18" s="158"/>
      <c r="K18" s="158"/>
      <c r="L18" s="158"/>
      <c r="M18" s="158"/>
      <c r="N18" s="158"/>
      <c r="O18" s="158"/>
      <c r="P18" s="158"/>
      <c r="Q18" s="178">
        <v>1</v>
      </c>
      <c r="R18" s="178">
        <v>0</v>
      </c>
      <c r="S18" s="178" t="s">
        <v>23</v>
      </c>
      <c r="T18" s="178" t="str">
        <f t="shared" si="0"/>
        <v>6</v>
      </c>
      <c r="U18" s="178">
        <v>10</v>
      </c>
      <c r="V18" s="209">
        <f t="shared" ref="V18" ca="1" si="2">IF(SUM(C18,Q18)&lt;=50,SUM(C18,Q18),IF(SUM(C18,Q18)&lt;=80,(SUM(C18,Q18)-50)*0.7+50,(SUM(C18,Q18)-80)*0.4+71))</f>
        <v>50.7</v>
      </c>
    </row>
    <row r="19" spans="1:22" ht="20.399999999999999" customHeight="1" x14ac:dyDescent="0.3">
      <c r="A19" s="178"/>
      <c r="B19" s="178"/>
      <c r="C19" s="178"/>
      <c r="D19" s="158"/>
      <c r="E19" s="158"/>
      <c r="F19" s="158"/>
      <c r="G19" s="158"/>
      <c r="H19" s="158"/>
      <c r="I19" s="158"/>
      <c r="J19" s="158"/>
      <c r="K19" s="158"/>
      <c r="L19" s="158"/>
      <c r="M19" s="158"/>
      <c r="N19" s="158"/>
      <c r="O19" s="158"/>
      <c r="P19" s="158"/>
      <c r="Q19" s="178"/>
      <c r="R19" s="178"/>
      <c r="S19" s="178"/>
      <c r="T19" s="178"/>
      <c r="U19" s="178"/>
      <c r="V19" s="209"/>
    </row>
    <row r="20" spans="1:22" ht="20.399999999999999" customHeight="1" x14ac:dyDescent="0.3">
      <c r="A20" s="178"/>
      <c r="B20" s="178" t="s">
        <v>11</v>
      </c>
      <c r="C20" s="178">
        <f t="shared" ref="C20" ca="1" si="3">LOOKUP(INDIRECT("rc[-1]",),INDIRECT("总表"&amp;"!A29:A34"),INDIRECT("总表"&amp;"!B29:B34"))</f>
        <v>50</v>
      </c>
      <c r="D20" s="158"/>
      <c r="E20" s="158"/>
      <c r="F20" s="158"/>
      <c r="G20" s="158"/>
      <c r="H20" s="158"/>
      <c r="I20" s="158"/>
      <c r="J20" s="158"/>
      <c r="K20" s="158"/>
      <c r="L20" s="158"/>
      <c r="M20" s="158"/>
      <c r="N20" s="158"/>
      <c r="O20" s="158"/>
      <c r="P20" s="158"/>
      <c r="Q20" s="178">
        <v>1</v>
      </c>
      <c r="R20" s="178">
        <v>0</v>
      </c>
      <c r="S20" s="178" t="s">
        <v>23</v>
      </c>
      <c r="T20" s="178" t="str">
        <f t="shared" si="0"/>
        <v>6</v>
      </c>
      <c r="U20" s="178"/>
      <c r="V20" s="209">
        <f t="shared" ref="V20" ca="1" si="4">IF(SUM(C20,Q20)&lt;=50,SUM(C20,Q20),IF(SUM(C20,Q20)&lt;=80,(SUM(C20,Q20)-50)*0.7+50,(SUM(C20,Q20)-80)*0.4+71))</f>
        <v>50.7</v>
      </c>
    </row>
    <row r="21" spans="1:22" ht="20.399999999999999" customHeight="1" x14ac:dyDescent="0.3">
      <c r="A21" s="178"/>
      <c r="B21" s="178"/>
      <c r="C21" s="178"/>
      <c r="D21" s="158"/>
      <c r="E21" s="158"/>
      <c r="F21" s="158"/>
      <c r="G21" s="158"/>
      <c r="H21" s="158"/>
      <c r="I21" s="158"/>
      <c r="J21" s="158"/>
      <c r="K21" s="158"/>
      <c r="L21" s="158"/>
      <c r="M21" s="158"/>
      <c r="N21" s="158"/>
      <c r="O21" s="158"/>
      <c r="P21" s="158"/>
      <c r="Q21" s="178"/>
      <c r="R21" s="178"/>
      <c r="S21" s="178"/>
      <c r="T21" s="178"/>
      <c r="U21" s="178"/>
      <c r="V21" s="209"/>
    </row>
    <row r="22" spans="1:22" ht="20.399999999999999" customHeight="1" x14ac:dyDescent="0.3">
      <c r="A22" s="178"/>
      <c r="B22" s="178" t="s">
        <v>11</v>
      </c>
      <c r="C22" s="178">
        <f t="shared" ref="C22" ca="1" si="5">LOOKUP(INDIRECT("rc[-1]",),INDIRECT("总表"&amp;"!A29:A34"),INDIRECT("总表"&amp;"!B29:B34"))</f>
        <v>50</v>
      </c>
      <c r="D22" s="158"/>
      <c r="E22" s="158"/>
      <c r="F22" s="158"/>
      <c r="G22" s="158"/>
      <c r="H22" s="158"/>
      <c r="I22" s="158"/>
      <c r="J22" s="158"/>
      <c r="K22" s="158"/>
      <c r="L22" s="158"/>
      <c r="M22" s="158"/>
      <c r="N22" s="158"/>
      <c r="O22" s="158"/>
      <c r="P22" s="158"/>
      <c r="Q22" s="178">
        <v>1</v>
      </c>
      <c r="R22" s="178">
        <v>0</v>
      </c>
      <c r="S22" s="178" t="s">
        <v>23</v>
      </c>
      <c r="T22" s="178" t="str">
        <f t="shared" ref="T22:T26" si="6">IF(Q22&lt;10,"6",IF(Q22&lt;20,"9",IF(Q22&lt;30,"12",18)))</f>
        <v>6</v>
      </c>
      <c r="U22" s="178"/>
      <c r="V22" s="209">
        <f t="shared" ref="V22" ca="1" si="7">IF(SUM(C22,Q22)&lt;=50,SUM(C22,Q22),IF(SUM(C22,Q22)&lt;=80,(SUM(C22,Q22)-50)*0.7+50,(SUM(C22,Q22)-80)*0.4+71))</f>
        <v>50.7</v>
      </c>
    </row>
    <row r="23" spans="1:22" ht="20.399999999999999" customHeight="1" x14ac:dyDescent="0.3">
      <c r="A23" s="178"/>
      <c r="B23" s="178"/>
      <c r="C23" s="178"/>
      <c r="D23" s="158"/>
      <c r="E23" s="158"/>
      <c r="F23" s="158"/>
      <c r="G23" s="158"/>
      <c r="H23" s="158"/>
      <c r="I23" s="158"/>
      <c r="J23" s="158"/>
      <c r="K23" s="158"/>
      <c r="L23" s="158"/>
      <c r="M23" s="158"/>
      <c r="N23" s="158"/>
      <c r="O23" s="158"/>
      <c r="P23" s="158"/>
      <c r="Q23" s="178"/>
      <c r="R23" s="178"/>
      <c r="S23" s="178"/>
      <c r="T23" s="178"/>
      <c r="U23" s="178"/>
      <c r="V23" s="209"/>
    </row>
    <row r="24" spans="1:22" ht="20.399999999999999" customHeight="1" x14ac:dyDescent="0.3">
      <c r="A24" s="178"/>
      <c r="B24" s="178" t="s">
        <v>11</v>
      </c>
      <c r="C24" s="178">
        <f t="shared" ref="C24" ca="1" si="8">LOOKUP(INDIRECT("rc[-1]",),INDIRECT("总表"&amp;"!A29:A34"),INDIRECT("总表"&amp;"!B29:B34"))</f>
        <v>50</v>
      </c>
      <c r="D24" s="158"/>
      <c r="E24" s="158"/>
      <c r="F24" s="158"/>
      <c r="G24" s="158"/>
      <c r="H24" s="158"/>
      <c r="I24" s="158"/>
      <c r="J24" s="158"/>
      <c r="K24" s="158"/>
      <c r="L24" s="158"/>
      <c r="M24" s="158"/>
      <c r="N24" s="158"/>
      <c r="O24" s="158"/>
      <c r="P24" s="158"/>
      <c r="Q24" s="178">
        <v>1</v>
      </c>
      <c r="R24" s="178">
        <v>0</v>
      </c>
      <c r="S24" s="178" t="s">
        <v>23</v>
      </c>
      <c r="T24" s="178" t="str">
        <f t="shared" si="6"/>
        <v>6</v>
      </c>
      <c r="U24" s="178"/>
      <c r="V24" s="209">
        <f t="shared" ref="V24" ca="1" si="9">IF(SUM(C24,Q24)&lt;=50,SUM(C24,Q24),IF(SUM(C24,Q24)&lt;=80,(SUM(C24,Q24)-50)*0.7+50,(SUM(C24,Q24)-80)*0.4+71))</f>
        <v>50.7</v>
      </c>
    </row>
    <row r="25" spans="1:22" ht="20.399999999999999" customHeight="1" x14ac:dyDescent="0.3">
      <c r="A25" s="178"/>
      <c r="B25" s="178"/>
      <c r="C25" s="178"/>
      <c r="D25" s="158"/>
      <c r="E25" s="158"/>
      <c r="F25" s="158"/>
      <c r="G25" s="158"/>
      <c r="H25" s="158"/>
      <c r="I25" s="158"/>
      <c r="J25" s="158"/>
      <c r="K25" s="158"/>
      <c r="L25" s="158"/>
      <c r="M25" s="158"/>
      <c r="N25" s="158"/>
      <c r="O25" s="158"/>
      <c r="P25" s="158"/>
      <c r="Q25" s="178"/>
      <c r="R25" s="178"/>
      <c r="S25" s="178"/>
      <c r="T25" s="178"/>
      <c r="U25" s="178"/>
      <c r="V25" s="209"/>
    </row>
    <row r="26" spans="1:22" ht="20.399999999999999" customHeight="1" x14ac:dyDescent="0.3">
      <c r="A26" s="178"/>
      <c r="B26" s="178" t="s">
        <v>11</v>
      </c>
      <c r="C26" s="178">
        <f t="shared" ref="C26" ca="1" si="10">LOOKUP(INDIRECT("rc[-1]",),INDIRECT("总表"&amp;"!A29:A34"),INDIRECT("总表"&amp;"!B29:B34"))</f>
        <v>50</v>
      </c>
      <c r="D26" s="158"/>
      <c r="E26" s="158"/>
      <c r="F26" s="158"/>
      <c r="G26" s="158"/>
      <c r="H26" s="158"/>
      <c r="I26" s="158"/>
      <c r="J26" s="158"/>
      <c r="K26" s="158"/>
      <c r="L26" s="158"/>
      <c r="M26" s="158"/>
      <c r="N26" s="158"/>
      <c r="O26" s="158"/>
      <c r="P26" s="158"/>
      <c r="Q26" s="178">
        <v>1</v>
      </c>
      <c r="R26" s="178">
        <v>0</v>
      </c>
      <c r="S26" s="178" t="s">
        <v>23</v>
      </c>
      <c r="T26" s="178" t="str">
        <f t="shared" si="6"/>
        <v>6</v>
      </c>
      <c r="U26" s="178"/>
      <c r="V26" s="209">
        <f t="shared" ref="V26" ca="1" si="11">IF(SUM(C26,Q26)&lt;=50,SUM(C26,Q26),IF(SUM(C26,Q26)&lt;=80,(SUM(C26,Q26)-50)*0.7+50,(SUM(C26,Q26)-80)*0.4+71))</f>
        <v>50.7</v>
      </c>
    </row>
    <row r="27" spans="1:22" ht="20.399999999999999" customHeight="1" x14ac:dyDescent="0.3">
      <c r="A27" s="178"/>
      <c r="B27" s="178"/>
      <c r="C27" s="178"/>
      <c r="D27" s="158"/>
      <c r="E27" s="158"/>
      <c r="F27" s="158"/>
      <c r="G27" s="158"/>
      <c r="H27" s="158"/>
      <c r="I27" s="158"/>
      <c r="J27" s="158"/>
      <c r="K27" s="158"/>
      <c r="L27" s="158"/>
      <c r="M27" s="158"/>
      <c r="N27" s="158"/>
      <c r="O27" s="158"/>
      <c r="P27" s="158"/>
      <c r="Q27" s="178"/>
      <c r="R27" s="178"/>
      <c r="S27" s="178"/>
      <c r="T27" s="178"/>
      <c r="U27" s="178"/>
      <c r="V27" s="209"/>
    </row>
  </sheetData>
  <mergeCells count="94">
    <mergeCell ref="D15:P15"/>
    <mergeCell ref="R15:T15"/>
    <mergeCell ref="A5:A6"/>
    <mergeCell ref="A7:A8"/>
    <mergeCell ref="A9:A10"/>
    <mergeCell ref="A11:A12"/>
    <mergeCell ref="A26:A27"/>
    <mergeCell ref="B5:B6"/>
    <mergeCell ref="B7:B8"/>
    <mergeCell ref="B9:B10"/>
    <mergeCell ref="B11:B12"/>
    <mergeCell ref="B16:B17"/>
    <mergeCell ref="B18:B19"/>
    <mergeCell ref="B20:B21"/>
    <mergeCell ref="B22:B23"/>
    <mergeCell ref="B24:B25"/>
    <mergeCell ref="B26:B27"/>
    <mergeCell ref="A16:A17"/>
    <mergeCell ref="A18:A19"/>
    <mergeCell ref="A20:A21"/>
    <mergeCell ref="A22:A23"/>
    <mergeCell ref="A24:A25"/>
    <mergeCell ref="C26:C27"/>
    <mergeCell ref="Q16:Q17"/>
    <mergeCell ref="Q18:Q19"/>
    <mergeCell ref="Q20:Q21"/>
    <mergeCell ref="Q22:Q23"/>
    <mergeCell ref="Q24:Q25"/>
    <mergeCell ref="Q26:Q27"/>
    <mergeCell ref="D20:P21"/>
    <mergeCell ref="D22:P23"/>
    <mergeCell ref="D24:P25"/>
    <mergeCell ref="D26:P27"/>
    <mergeCell ref="C16:C17"/>
    <mergeCell ref="C18:C19"/>
    <mergeCell ref="C20:C21"/>
    <mergeCell ref="C22:C23"/>
    <mergeCell ref="C24:C25"/>
    <mergeCell ref="R26:R27"/>
    <mergeCell ref="S16:S17"/>
    <mergeCell ref="S18:S19"/>
    <mergeCell ref="S20:S21"/>
    <mergeCell ref="S22:S23"/>
    <mergeCell ref="S24:S25"/>
    <mergeCell ref="S26:S27"/>
    <mergeCell ref="R16:R17"/>
    <mergeCell ref="R18:R19"/>
    <mergeCell ref="R20:R21"/>
    <mergeCell ref="R22:R23"/>
    <mergeCell ref="R24:R25"/>
    <mergeCell ref="T26:T27"/>
    <mergeCell ref="U16:U17"/>
    <mergeCell ref="U18:U19"/>
    <mergeCell ref="U20:U21"/>
    <mergeCell ref="U22:U23"/>
    <mergeCell ref="U24:U25"/>
    <mergeCell ref="U26:U27"/>
    <mergeCell ref="T16:T17"/>
    <mergeCell ref="T18:T19"/>
    <mergeCell ref="T20:T21"/>
    <mergeCell ref="T22:T23"/>
    <mergeCell ref="T24:T25"/>
    <mergeCell ref="V16:V17"/>
    <mergeCell ref="V18:V19"/>
    <mergeCell ref="V20:V21"/>
    <mergeCell ref="V22:V23"/>
    <mergeCell ref="V24:V25"/>
    <mergeCell ref="V26:V27"/>
    <mergeCell ref="C7:G8"/>
    <mergeCell ref="H7:L8"/>
    <mergeCell ref="M7:Q8"/>
    <mergeCell ref="R7:V8"/>
    <mergeCell ref="C9:G10"/>
    <mergeCell ref="H9:L10"/>
    <mergeCell ref="M9:Q10"/>
    <mergeCell ref="R9:V10"/>
    <mergeCell ref="C11:G12"/>
    <mergeCell ref="H11:L12"/>
    <mergeCell ref="M11:Q12"/>
    <mergeCell ref="R11:V12"/>
    <mergeCell ref="A13:V14"/>
    <mergeCell ref="D16:P17"/>
    <mergeCell ref="D18:P19"/>
    <mergeCell ref="A1:G2"/>
    <mergeCell ref="C5:G6"/>
    <mergeCell ref="H5:L6"/>
    <mergeCell ref="M5:Q6"/>
    <mergeCell ref="R5:V6"/>
    <mergeCell ref="R4:V4"/>
    <mergeCell ref="A3:B3"/>
    <mergeCell ref="C3:G3"/>
    <mergeCell ref="C4:G4"/>
    <mergeCell ref="H4:L4"/>
    <mergeCell ref="M4:Q4"/>
  </mergeCells>
  <phoneticPr fontId="47" type="noConversion"/>
  <conditionalFormatting sqref="H5:L6">
    <cfRule type="expression" dxfId="11" priority="12">
      <formula>NOT($B$5="原始")</formula>
    </cfRule>
  </conditionalFormatting>
  <conditionalFormatting sqref="H7:L8">
    <cfRule type="expression" dxfId="10" priority="7">
      <formula>NOT($B$7="原始")</formula>
    </cfRule>
  </conditionalFormatting>
  <conditionalFormatting sqref="H9:L10">
    <cfRule type="expression" dxfId="9" priority="6">
      <formula>NOT($B$9="原始")</formula>
    </cfRule>
  </conditionalFormatting>
  <conditionalFormatting sqref="H11:L12">
    <cfRule type="expression" dxfId="8" priority="5">
      <formula>NOT($B$11="原始")</formula>
    </cfRule>
  </conditionalFormatting>
  <conditionalFormatting sqref="M5:Q6">
    <cfRule type="expression" dxfId="7" priority="11">
      <formula>AND(NOT($B$5="原始"),NOT($B$5="初级"))</formula>
    </cfRule>
  </conditionalFormatting>
  <conditionalFormatting sqref="M7:Q8">
    <cfRule type="expression" dxfId="6" priority="10">
      <formula>AND(NOT($B$7="原始"),NOT($B$7="初级"))</formula>
    </cfRule>
  </conditionalFormatting>
  <conditionalFormatting sqref="M9:Q10">
    <cfRule type="expression" dxfId="5" priority="9">
      <formula>AND(NOT($B$9="原始"),NOT($B$9="初级"))</formula>
    </cfRule>
  </conditionalFormatting>
  <conditionalFormatting sqref="M11:Q12">
    <cfRule type="expression" dxfId="4" priority="8">
      <formula>AND(NOT($B$11="原始"),NOT($B$11="初级"))</formula>
    </cfRule>
  </conditionalFormatting>
  <conditionalFormatting sqref="R5:V6">
    <cfRule type="expression" dxfId="3" priority="1">
      <formula>($B$5="上级")</formula>
    </cfRule>
  </conditionalFormatting>
  <conditionalFormatting sqref="R7:V8">
    <cfRule type="expression" dxfId="2" priority="2">
      <formula>($B$7="上级")</formula>
    </cfRule>
  </conditionalFormatting>
  <conditionalFormatting sqref="R9:V10">
    <cfRule type="expression" dxfId="1" priority="3">
      <formula>($B$9="上级")</formula>
    </cfRule>
  </conditionalFormatting>
  <conditionalFormatting sqref="R11:V12">
    <cfRule type="expression" dxfId="0" priority="4">
      <formula>($B$11="上级")</formula>
    </cfRule>
  </conditionalFormatting>
  <pageMargins left="0.7" right="0.7" top="0.75" bottom="0.75" header="0.3" footer="0.3"/>
  <legacy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900-000000000000}">
          <x14:formula1>
            <xm:f>总表!$A$36:$A$39</xm:f>
          </x14:formula1>
          <xm:sqref>B5:B12</xm:sqref>
        </x14:dataValidation>
      </x14:dataValidation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8"/>
  <dimension ref="A1:AB47"/>
  <sheetViews>
    <sheetView workbookViewId="0">
      <selection activeCell="K14" sqref="K14:M15"/>
    </sheetView>
  </sheetViews>
  <sheetFormatPr defaultColWidth="9" defaultRowHeight="18" customHeight="1" x14ac:dyDescent="0.3"/>
  <cols>
    <col min="1" max="7" width="8.9140625" style="16" customWidth="1"/>
    <col min="8" max="16382" width="8.9140625" customWidth="1"/>
    <col min="16383" max="16383" width="8.9140625"/>
  </cols>
  <sheetData>
    <row r="1" spans="1:28" ht="18" customHeight="1" x14ac:dyDescent="0.3">
      <c r="A1" s="198" t="s">
        <v>294</v>
      </c>
      <c r="B1" s="198"/>
      <c r="C1" s="198"/>
      <c r="D1" s="198"/>
      <c r="E1" s="198"/>
      <c r="F1" s="198"/>
      <c r="G1" s="198"/>
      <c r="I1" s="214" t="s">
        <v>295</v>
      </c>
      <c r="J1" s="215"/>
      <c r="K1" s="215"/>
      <c r="L1" s="215"/>
      <c r="M1" s="215"/>
      <c r="N1" s="215"/>
      <c r="O1" s="215"/>
      <c r="P1" s="215"/>
      <c r="Q1" s="215"/>
      <c r="R1" s="215"/>
      <c r="S1" s="216"/>
      <c r="T1" s="22"/>
      <c r="U1" s="214" t="s">
        <v>296</v>
      </c>
      <c r="V1" s="215"/>
      <c r="W1" s="215"/>
      <c r="X1" s="215"/>
      <c r="Y1" s="215"/>
      <c r="Z1" s="215"/>
      <c r="AA1" s="215"/>
      <c r="AB1" s="216"/>
    </row>
    <row r="2" spans="1:28" ht="18" customHeight="1" x14ac:dyDescent="0.3">
      <c r="A2" s="198"/>
      <c r="B2" s="198"/>
      <c r="C2" s="198"/>
      <c r="D2" s="198"/>
      <c r="E2" s="198"/>
      <c r="F2" s="198"/>
      <c r="G2" s="198"/>
      <c r="I2" s="217"/>
      <c r="J2" s="218"/>
      <c r="K2" s="218"/>
      <c r="L2" s="218"/>
      <c r="M2" s="218"/>
      <c r="N2" s="218"/>
      <c r="O2" s="218"/>
      <c r="P2" s="218"/>
      <c r="Q2" s="218"/>
      <c r="R2" s="218"/>
      <c r="S2" s="219"/>
      <c r="T2" s="22"/>
      <c r="U2" s="217"/>
      <c r="V2" s="218"/>
      <c r="W2" s="218"/>
      <c r="X2" s="218"/>
      <c r="Y2" s="218"/>
      <c r="Z2" s="218"/>
      <c r="AA2" s="218"/>
      <c r="AB2" s="219"/>
    </row>
    <row r="3" spans="1:28" ht="18" customHeight="1" x14ac:dyDescent="0.3">
      <c r="A3" s="221" t="s">
        <v>297</v>
      </c>
      <c r="B3" s="221" t="s">
        <v>296</v>
      </c>
      <c r="C3" s="220" t="s">
        <v>298</v>
      </c>
      <c r="D3" s="220"/>
      <c r="E3" s="220"/>
      <c r="F3" s="220"/>
      <c r="G3" s="220"/>
      <c r="H3" s="18"/>
      <c r="I3" s="6" t="s">
        <v>157</v>
      </c>
      <c r="J3" s="6" t="s">
        <v>299</v>
      </c>
      <c r="K3" s="174" t="s">
        <v>278</v>
      </c>
      <c r="L3" s="174"/>
      <c r="M3" s="174"/>
      <c r="N3" s="6" t="s">
        <v>197</v>
      </c>
      <c r="O3" s="174" t="s">
        <v>200</v>
      </c>
      <c r="P3" s="174"/>
      <c r="Q3" s="174"/>
      <c r="R3" s="6" t="s">
        <v>277</v>
      </c>
      <c r="S3" s="6" t="s">
        <v>81</v>
      </c>
      <c r="T3" s="4"/>
      <c r="U3" s="6" t="s">
        <v>157</v>
      </c>
      <c r="V3" s="6" t="s">
        <v>277</v>
      </c>
      <c r="W3" s="174" t="s">
        <v>278</v>
      </c>
      <c r="X3" s="174"/>
      <c r="Y3" s="174"/>
      <c r="Z3" s="6" t="s">
        <v>300</v>
      </c>
      <c r="AA3" s="6" t="s">
        <v>301</v>
      </c>
      <c r="AB3" s="6" t="s">
        <v>302</v>
      </c>
    </row>
    <row r="4" spans="1:28" ht="18" customHeight="1" x14ac:dyDescent="0.3">
      <c r="A4" s="221"/>
      <c r="B4" s="221"/>
      <c r="C4" s="220"/>
      <c r="D4" s="220"/>
      <c r="E4" s="220"/>
      <c r="F4" s="220"/>
      <c r="G4" s="220"/>
      <c r="H4" s="18"/>
      <c r="I4" s="196"/>
      <c r="J4" s="196" t="s">
        <v>303</v>
      </c>
      <c r="K4" s="161"/>
      <c r="L4" s="162"/>
      <c r="M4" s="163"/>
      <c r="N4" s="196">
        <v>1</v>
      </c>
      <c r="O4" s="196">
        <v>0</v>
      </c>
      <c r="P4" s="196" t="s">
        <v>23</v>
      </c>
      <c r="Q4" s="178" t="str">
        <f>IF(N4&lt;10,"6",IF(N4&lt;20,"9",IF(N4&lt;30,"12",18)))</f>
        <v>6</v>
      </c>
      <c r="R4" s="196">
        <v>5</v>
      </c>
      <c r="S4" s="209">
        <f ca="1">IF(SUM(INDIRECT("总表"&amp;"!K13"),N4)&lt;=50,SUM(INDIRECT("总表"&amp;"!K13"),N4),IF(SUM(INDIRECT("总表"&amp;"!K13"),N4)&lt;=80,(SUM(INDIRECT("总表"&amp;"!K13"),N4)-50)*0.7+50,(SUM(INDIRECT("总表"&amp;"!K13"),N4)-80)*0.4+71))</f>
        <v>31</v>
      </c>
      <c r="T4" s="23"/>
      <c r="U4" s="196"/>
      <c r="V4" s="196"/>
      <c r="W4" s="161"/>
      <c r="X4" s="162"/>
      <c r="Y4" s="163"/>
      <c r="Z4" s="196"/>
      <c r="AA4" s="196"/>
      <c r="AB4" s="209"/>
    </row>
    <row r="5" spans="1:28" ht="18" customHeight="1" x14ac:dyDescent="0.3">
      <c r="A5" s="17" t="s">
        <v>304</v>
      </c>
      <c r="B5" s="17" t="s">
        <v>305</v>
      </c>
      <c r="C5" s="17" t="s">
        <v>306</v>
      </c>
      <c r="D5" s="221" t="s">
        <v>307</v>
      </c>
      <c r="E5" s="221"/>
      <c r="F5" s="221"/>
      <c r="G5" s="221"/>
      <c r="H5" s="19"/>
      <c r="I5" s="197"/>
      <c r="J5" s="197"/>
      <c r="K5" s="166"/>
      <c r="L5" s="167"/>
      <c r="M5" s="168"/>
      <c r="N5" s="197"/>
      <c r="O5" s="197"/>
      <c r="P5" s="197"/>
      <c r="Q5" s="178"/>
      <c r="R5" s="197"/>
      <c r="S5" s="209"/>
      <c r="T5" s="23"/>
      <c r="U5" s="197"/>
      <c r="V5" s="197"/>
      <c r="W5" s="166"/>
      <c r="X5" s="167"/>
      <c r="Y5" s="168"/>
      <c r="Z5" s="197"/>
      <c r="AA5" s="197"/>
      <c r="AB5" s="209"/>
    </row>
    <row r="6" spans="1:28" ht="18" customHeight="1" x14ac:dyDescent="0.3">
      <c r="A6" s="178" t="s">
        <v>303</v>
      </c>
      <c r="B6" s="178">
        <f ca="1">IF(B3=A6,SUMIF(J:N,A6,N:N),SUMIF(J:N,A6,N:N)/2)</f>
        <v>0.5</v>
      </c>
      <c r="C6" s="178">
        <f ca="1">IF(B6&lt;15,1,IF(B6&lt;45,2,IF(B6&lt;105,3,IF(B6&lt;165,4,5))))</f>
        <v>1</v>
      </c>
      <c r="D6" s="158" t="str">
        <f ca="1">IF(B6&lt;15,"允许连发（n连发所消耗的行动力就是2n）",IF(B6&lt;45,"连发消耗行动力减半（n连发所消耗的行动力就是1+n）",IF(B6&lt;105,"连发消耗行动力减半（n连发所消耗的行动力就是1+n）,允许跨魔法连发",IF(B6&lt;165,"连发消耗行动力减半（n连发所消耗的行动力就是1+n）,允许跨魔法连发,连发消耗SP减半（首发SP全额，之后连发SP半额）","连发消耗行动力减半（n连发所消耗的行动力就是1+n）,允许跨魔法连发,连发消耗SP减半（首发SP全额，之后连发SP半额）,允许免费获得1连发"))))</f>
        <v>允许连发（n连发所消耗的行动力就是2n）</v>
      </c>
      <c r="E6" s="158"/>
      <c r="F6" s="158"/>
      <c r="G6" s="158"/>
      <c r="H6" s="5"/>
      <c r="I6" s="196"/>
      <c r="J6" s="196" t="s">
        <v>308</v>
      </c>
      <c r="K6" s="161"/>
      <c r="L6" s="162"/>
      <c r="M6" s="163"/>
      <c r="N6" s="196">
        <v>1</v>
      </c>
      <c r="O6" s="196">
        <v>0</v>
      </c>
      <c r="P6" s="196" t="s">
        <v>23</v>
      </c>
      <c r="Q6" s="178" t="str">
        <f t="shared" ref="Q6" si="0">IF(N6&lt;10,"6",IF(N6&lt;20,"9",IF(N6&lt;30,"12",18)))</f>
        <v>6</v>
      </c>
      <c r="R6" s="196">
        <v>5</v>
      </c>
      <c r="S6" s="209">
        <f t="shared" ref="S6" ca="1" si="1">IF(SUM(INDIRECT("总表"&amp;"!K13"),N6)&lt;=50,SUM(INDIRECT("总表"&amp;"!K13"),N6),IF(SUM(INDIRECT("总表"&amp;"!K13"),N6)&lt;=80,(SUM(INDIRECT("总表"&amp;"!K13"),N6)-50)*0.7+50,(SUM(INDIRECT("总表"&amp;"!K13"),N6)-80)*0.4+71))</f>
        <v>31</v>
      </c>
      <c r="T6" s="23"/>
      <c r="U6" s="196"/>
      <c r="V6" s="196"/>
      <c r="W6" s="161"/>
      <c r="X6" s="162"/>
      <c r="Y6" s="163"/>
      <c r="Z6" s="196"/>
      <c r="AA6" s="196"/>
      <c r="AB6" s="209"/>
    </row>
    <row r="7" spans="1:28" ht="18" customHeight="1" x14ac:dyDescent="0.3">
      <c r="A7" s="178"/>
      <c r="B7" s="178"/>
      <c r="C7" s="178"/>
      <c r="D7" s="158"/>
      <c r="E7" s="158"/>
      <c r="F7" s="158"/>
      <c r="G7" s="158"/>
      <c r="H7" s="5"/>
      <c r="I7" s="197"/>
      <c r="J7" s="197"/>
      <c r="K7" s="166"/>
      <c r="L7" s="167"/>
      <c r="M7" s="168"/>
      <c r="N7" s="197"/>
      <c r="O7" s="197"/>
      <c r="P7" s="197"/>
      <c r="Q7" s="178"/>
      <c r="R7" s="197"/>
      <c r="S7" s="209"/>
      <c r="T7" s="23"/>
      <c r="U7" s="197"/>
      <c r="V7" s="197"/>
      <c r="W7" s="166"/>
      <c r="X7" s="167"/>
      <c r="Y7" s="168"/>
      <c r="Z7" s="197"/>
      <c r="AA7" s="197"/>
      <c r="AB7" s="209"/>
    </row>
    <row r="8" spans="1:28" ht="18" customHeight="1" x14ac:dyDescent="0.3">
      <c r="A8" s="178"/>
      <c r="B8" s="178"/>
      <c r="C8" s="178"/>
      <c r="D8" s="158"/>
      <c r="E8" s="158"/>
      <c r="F8" s="158"/>
      <c r="G8" s="158"/>
      <c r="H8" s="5"/>
      <c r="I8" s="196"/>
      <c r="J8" s="196" t="s">
        <v>309</v>
      </c>
      <c r="K8" s="161"/>
      <c r="L8" s="162"/>
      <c r="M8" s="163"/>
      <c r="N8" s="196">
        <v>1</v>
      </c>
      <c r="O8" s="196">
        <v>0</v>
      </c>
      <c r="P8" s="196" t="s">
        <v>23</v>
      </c>
      <c r="Q8" s="178" t="str">
        <f t="shared" ref="Q8" si="2">IF(N8&lt;10,"6",IF(N8&lt;20,"9",IF(N8&lt;30,"12",18)))</f>
        <v>6</v>
      </c>
      <c r="R8" s="196">
        <v>5</v>
      </c>
      <c r="S8" s="209">
        <f t="shared" ref="S8" ca="1" si="3">IF(SUM(INDIRECT("总表"&amp;"!K13"),N8)&lt;=50,SUM(INDIRECT("总表"&amp;"!K13"),N8),IF(SUM(INDIRECT("总表"&amp;"!K13"),N8)&lt;=80,(SUM(INDIRECT("总表"&amp;"!K13"),N8)-50)*0.7+50,(SUM(INDIRECT("总表"&amp;"!K13"),N8)-80)*0.4+71))</f>
        <v>31</v>
      </c>
      <c r="T8" s="23"/>
      <c r="U8" s="196"/>
      <c r="V8" s="196"/>
      <c r="W8" s="161"/>
      <c r="X8" s="162"/>
      <c r="Y8" s="163"/>
      <c r="Z8" s="196"/>
      <c r="AA8" s="196"/>
      <c r="AB8" s="209"/>
    </row>
    <row r="9" spans="1:28" ht="18" customHeight="1" x14ac:dyDescent="0.3">
      <c r="A9" s="178" t="s">
        <v>308</v>
      </c>
      <c r="B9" s="178">
        <f ca="1">IF(B3=A9,SUMIF(J:N,A9,N:N),SUMIF(J:N,A9,N:N)/2)</f>
        <v>0.5</v>
      </c>
      <c r="C9" s="178">
        <f ca="1">IF(B9&lt;10,1,IF(B9&lt;30,2,IF(B9&lt;70,3,IF(B9&lt;110,4,5))))</f>
        <v>1</v>
      </c>
      <c r="D9" s="158" t="str">
        <f ca="1">IF(B9&lt;10,"抵消检定值超过阈值的惩罚、魔法效果+0.5倍",IF(B9&lt;30,"抵消检定值超过阈值的惩罚、魔法效果+0.5倍、射程+3，作用目标数+1",IF(B9&lt;70,"抵消检定值超过阈值的惩罚、魔法效果+0.5倍、射程+3，作用目标数+1、有效范围+1，buff持续时间+1.0倍",IF(B9&lt;110,"抵消检定值超过阈值的惩罚、魔法效果+0.5倍、射程+3，作用目标数+1、有效范围+1，buff持续时间+1.0倍、增加一级检定成果","抵消检定值超过阈值的惩罚、魔法效果+0.5倍、射程+3，作用目标数+1、有效范围+1，buff持续时间+1.0倍、增加一级检定成果、允许缝合另一心神之法魔法"))))</f>
        <v>抵消检定值超过阈值的惩罚、魔法效果+0.5倍</v>
      </c>
      <c r="E9" s="158"/>
      <c r="F9" s="158"/>
      <c r="G9" s="158"/>
      <c r="H9" s="5"/>
      <c r="I9" s="197"/>
      <c r="J9" s="197"/>
      <c r="K9" s="166"/>
      <c r="L9" s="167"/>
      <c r="M9" s="168"/>
      <c r="N9" s="197"/>
      <c r="O9" s="197"/>
      <c r="P9" s="197"/>
      <c r="Q9" s="178"/>
      <c r="R9" s="197"/>
      <c r="S9" s="209"/>
      <c r="T9" s="23"/>
      <c r="U9" s="197"/>
      <c r="V9" s="197"/>
      <c r="W9" s="166"/>
      <c r="X9" s="167"/>
      <c r="Y9" s="168"/>
      <c r="Z9" s="197"/>
      <c r="AA9" s="197"/>
      <c r="AB9" s="209"/>
    </row>
    <row r="10" spans="1:28" ht="18" customHeight="1" x14ac:dyDescent="0.3">
      <c r="A10" s="178"/>
      <c r="B10" s="178"/>
      <c r="C10" s="178"/>
      <c r="D10" s="158"/>
      <c r="E10" s="158"/>
      <c r="F10" s="158"/>
      <c r="G10" s="158"/>
      <c r="H10" s="5"/>
      <c r="I10" s="196"/>
      <c r="J10" s="196"/>
      <c r="K10" s="161"/>
      <c r="L10" s="162"/>
      <c r="M10" s="163"/>
      <c r="N10" s="196">
        <v>1</v>
      </c>
      <c r="O10" s="196">
        <v>0</v>
      </c>
      <c r="P10" s="196" t="s">
        <v>23</v>
      </c>
      <c r="Q10" s="178" t="str">
        <f t="shared" ref="Q10" si="4">IF(N10&lt;10,"6",IF(N10&lt;20,"9",IF(N10&lt;30,"12",18)))</f>
        <v>6</v>
      </c>
      <c r="R10" s="196">
        <v>5</v>
      </c>
      <c r="S10" s="209">
        <f t="shared" ref="S10" ca="1" si="5">IF(SUM(INDIRECT("总表"&amp;"!K13"),N10)&lt;=50,SUM(INDIRECT("总表"&amp;"!K13"),N10),IF(SUM(INDIRECT("总表"&amp;"!K13"),N10)&lt;=80,(SUM(INDIRECT("总表"&amp;"!K13"),N10)-50)*0.7+50,(SUM(INDIRECT("总表"&amp;"!K13"),N10)-80)*0.4+71))</f>
        <v>31</v>
      </c>
      <c r="T10" s="23"/>
      <c r="U10" s="196"/>
      <c r="V10" s="196"/>
      <c r="W10" s="161"/>
      <c r="X10" s="162"/>
      <c r="Y10" s="163"/>
      <c r="Z10" s="196"/>
      <c r="AA10" s="196"/>
      <c r="AB10" s="209"/>
    </row>
    <row r="11" spans="1:28" ht="18" customHeight="1" thickTop="1" thickBot="1" x14ac:dyDescent="0.35">
      <c r="A11" s="178"/>
      <c r="B11" s="178"/>
      <c r="C11" s="178"/>
      <c r="D11" s="158"/>
      <c r="E11" s="158"/>
      <c r="F11" s="158"/>
      <c r="G11" s="158"/>
      <c r="H11" s="5"/>
      <c r="I11" s="197"/>
      <c r="J11" s="197"/>
      <c r="K11" s="166"/>
      <c r="L11" s="167"/>
      <c r="M11" s="168"/>
      <c r="N11" s="197"/>
      <c r="O11" s="197"/>
      <c r="P11" s="197"/>
      <c r="Q11" s="178"/>
      <c r="R11" s="197"/>
      <c r="S11" s="209"/>
      <c r="T11" s="23"/>
      <c r="U11" s="197"/>
      <c r="V11" s="197"/>
      <c r="W11" s="166"/>
      <c r="X11" s="167"/>
      <c r="Y11" s="168"/>
      <c r="Z11" s="197"/>
      <c r="AA11" s="197"/>
      <c r="AB11" s="209"/>
    </row>
    <row r="12" spans="1:28" ht="18" customHeight="1" thickTop="1" thickBot="1" x14ac:dyDescent="0.35">
      <c r="A12" s="178" t="s">
        <v>310</v>
      </c>
      <c r="B12" s="178"/>
      <c r="C12" s="209">
        <f ca="1">AVERAGE(INDIRECT("总表"&amp;"!K3"),INDIRECT("总表"&amp;"!K5"),INDIRECT("总表"&amp;"!K7"),INDIRECT("总表"&amp;"!K9"),INDIRECT("总表"&amp;"!K11"))/10</f>
        <v>4.2</v>
      </c>
      <c r="D12" s="209"/>
      <c r="E12" s="209"/>
      <c r="F12" s="209"/>
      <c r="G12" s="209"/>
      <c r="H12" s="5"/>
      <c r="I12" s="196"/>
      <c r="J12" s="196"/>
      <c r="K12" s="161"/>
      <c r="L12" s="162"/>
      <c r="M12" s="163"/>
      <c r="N12" s="196">
        <v>1</v>
      </c>
      <c r="O12" s="196">
        <v>0</v>
      </c>
      <c r="P12" s="196" t="s">
        <v>23</v>
      </c>
      <c r="Q12" s="178" t="str">
        <f t="shared" ref="Q12" si="6">IF(N12&lt;10,"6",IF(N12&lt;20,"9",IF(N12&lt;30,"12",18)))</f>
        <v>6</v>
      </c>
      <c r="R12" s="196">
        <v>5</v>
      </c>
      <c r="S12" s="209">
        <f t="shared" ref="S12" ca="1" si="7">IF(SUM(INDIRECT("总表"&amp;"!K13"),N12)&lt;=50,SUM(INDIRECT("总表"&amp;"!K13"),N12),IF(SUM(INDIRECT("总表"&amp;"!K13"),N12)&lt;=80,(SUM(INDIRECT("总表"&amp;"!K13"),N12)-50)*0.7+50,(SUM(INDIRECT("总表"&amp;"!K13"),N12)-80)*0.4+71))</f>
        <v>31</v>
      </c>
      <c r="T12" s="23"/>
      <c r="U12" s="196"/>
      <c r="V12" s="196"/>
      <c r="W12" s="161"/>
      <c r="X12" s="162"/>
      <c r="Y12" s="163"/>
      <c r="Z12" s="196"/>
      <c r="AA12" s="196"/>
      <c r="AB12" s="209"/>
    </row>
    <row r="13" spans="1:28" ht="18" customHeight="1" thickTop="1" thickBot="1" x14ac:dyDescent="0.35">
      <c r="A13" s="178" t="s">
        <v>311</v>
      </c>
      <c r="B13" s="178"/>
      <c r="C13" s="178" t="str">
        <f ca="1">IF(B9&lt;10,"不允许",IF(B9&lt;30,"允许免费获得一重过载",IF(B9&lt;70,"允许免费获得一重过载",IF(B9&lt;110,"允许免费获得二重过载","允许免费获得二重过载"))))</f>
        <v>不允许</v>
      </c>
      <c r="D13" s="178"/>
      <c r="E13" s="178"/>
      <c r="F13" s="178"/>
      <c r="G13" s="178"/>
      <c r="H13" s="5"/>
      <c r="I13" s="197"/>
      <c r="J13" s="197"/>
      <c r="K13" s="166"/>
      <c r="L13" s="167"/>
      <c r="M13" s="168"/>
      <c r="N13" s="197"/>
      <c r="O13" s="197"/>
      <c r="P13" s="197"/>
      <c r="Q13" s="178"/>
      <c r="R13" s="197"/>
      <c r="S13" s="209"/>
      <c r="T13" s="23"/>
      <c r="U13" s="197"/>
      <c r="V13" s="197"/>
      <c r="W13" s="166"/>
      <c r="X13" s="167"/>
      <c r="Y13" s="168"/>
      <c r="Z13" s="197"/>
      <c r="AA13" s="197"/>
      <c r="AB13" s="209"/>
    </row>
    <row r="14" spans="1:28" ht="18" customHeight="1" thickTop="1" thickBot="1" x14ac:dyDescent="0.35">
      <c r="A14" s="178" t="s">
        <v>309</v>
      </c>
      <c r="B14" s="178">
        <f ca="1">IF(B3=A14,SUMIF(J:N,A14,N:N),SUMIF(J:N,A14,N:N)/2)</f>
        <v>0.5</v>
      </c>
      <c r="C14" s="178">
        <f ca="1">IF(B14&lt;10,1,IF(B14&lt;30,2,IF(B14&lt;70,3,IF(B14&lt;110,4,5))))</f>
        <v>1</v>
      </c>
      <c r="D14" s="158" t="str">
        <f ca="1">IF(B14&lt;10,"回归指令、逼近指令",IF(B14&lt;30,"回归指令、逼近指令、借机指令、蹲伏指令",IF(B14&lt;70,"回归指令、逼近指令、借机指令、蹲伏指令、反击指令、加密指令",IF(B14&lt;110,"回归指令、逼近指令、借机指令、蹲伏指令、反击指令、加密指令、突袭指令、坚守指令","回归指令、逼近指令、借机指令、蹲伏指令、反击指令、加密指令、突袭指令、坚守指令、遥控指令、自爆指令"))))</f>
        <v>回归指令、逼近指令</v>
      </c>
      <c r="E14" s="158"/>
      <c r="F14" s="158"/>
      <c r="G14" s="158"/>
      <c r="H14" s="5"/>
      <c r="I14" s="196"/>
      <c r="J14" s="196"/>
      <c r="K14" s="161"/>
      <c r="L14" s="162"/>
      <c r="M14" s="163"/>
      <c r="N14" s="196">
        <v>1</v>
      </c>
      <c r="O14" s="196">
        <v>0</v>
      </c>
      <c r="P14" s="196" t="s">
        <v>23</v>
      </c>
      <c r="Q14" s="178" t="str">
        <f t="shared" ref="Q14:Q18" si="8">IF(N14&lt;10,"6",IF(N14&lt;20,"9",IF(N14&lt;30,"12",18)))</f>
        <v>6</v>
      </c>
      <c r="R14" s="196">
        <v>5</v>
      </c>
      <c r="S14" s="209">
        <f t="shared" ref="S14:S18" ca="1" si="9">IF(SUM(INDIRECT("总表"&amp;"!K13"),N14)&lt;=50,SUM(INDIRECT("总表"&amp;"!K13"),N14),IF(SUM(INDIRECT("总表"&amp;"!K13"),N14)&lt;=80,(SUM(INDIRECT("总表"&amp;"!K13"),N14)-50)*0.7+50,(SUM(INDIRECT("总表"&amp;"!K13"),N14)-80)*0.4+71))</f>
        <v>31</v>
      </c>
      <c r="T14" s="23"/>
      <c r="U14" s="196"/>
      <c r="V14" s="196"/>
      <c r="W14" s="161"/>
      <c r="X14" s="162"/>
      <c r="Y14" s="163"/>
      <c r="Z14" s="196"/>
      <c r="AA14" s="196"/>
      <c r="AB14" s="209"/>
    </row>
    <row r="15" spans="1:28" ht="18" customHeight="1" thickTop="1" thickBot="1" x14ac:dyDescent="0.35">
      <c r="A15" s="178"/>
      <c r="B15" s="178"/>
      <c r="C15" s="178"/>
      <c r="D15" s="158"/>
      <c r="E15" s="158"/>
      <c r="F15" s="158"/>
      <c r="G15" s="158"/>
      <c r="H15" s="5"/>
      <c r="I15" s="197"/>
      <c r="J15" s="197"/>
      <c r="K15" s="166"/>
      <c r="L15" s="167"/>
      <c r="M15" s="168"/>
      <c r="N15" s="197"/>
      <c r="O15" s="197"/>
      <c r="P15" s="197"/>
      <c r="Q15" s="178"/>
      <c r="R15" s="197"/>
      <c r="S15" s="209"/>
      <c r="T15" s="23"/>
      <c r="U15" s="197"/>
      <c r="V15" s="197"/>
      <c r="W15" s="166"/>
      <c r="X15" s="167"/>
      <c r="Y15" s="168"/>
      <c r="Z15" s="197"/>
      <c r="AA15" s="197"/>
      <c r="AB15" s="209"/>
    </row>
    <row r="16" spans="1:28" ht="18" customHeight="1" thickTop="1" thickBot="1" x14ac:dyDescent="0.35">
      <c r="A16" s="178"/>
      <c r="B16" s="178"/>
      <c r="C16" s="178"/>
      <c r="D16" s="158"/>
      <c r="E16" s="158"/>
      <c r="F16" s="158"/>
      <c r="G16" s="158"/>
      <c r="H16" s="5"/>
      <c r="I16" s="196"/>
      <c r="J16" s="196"/>
      <c r="K16" s="161"/>
      <c r="L16" s="162"/>
      <c r="M16" s="163"/>
      <c r="N16" s="196">
        <v>1</v>
      </c>
      <c r="O16" s="196">
        <v>0</v>
      </c>
      <c r="P16" s="196" t="s">
        <v>23</v>
      </c>
      <c r="Q16" s="178" t="str">
        <f t="shared" si="8"/>
        <v>6</v>
      </c>
      <c r="R16" s="196">
        <v>5</v>
      </c>
      <c r="S16" s="209">
        <f t="shared" ca="1" si="9"/>
        <v>31</v>
      </c>
      <c r="T16" s="23"/>
      <c r="U16" s="196"/>
      <c r="V16" s="196"/>
      <c r="W16" s="161"/>
      <c r="X16" s="162"/>
      <c r="Y16" s="163"/>
      <c r="Z16" s="196"/>
      <c r="AA16" s="196"/>
      <c r="AB16" s="209"/>
    </row>
    <row r="17" spans="1:28" ht="18" customHeight="1" thickTop="1" thickBot="1" x14ac:dyDescent="0.35">
      <c r="A17" s="178" t="s">
        <v>312</v>
      </c>
      <c r="B17" s="178"/>
      <c r="C17" s="209" t="str">
        <f ca="1">IF(B14&lt;2,"10",IF(B14&lt;30,"2000",IF(B14&lt;70,"2500",IF(B14&lt;110,"3000","3500"))))</f>
        <v>10</v>
      </c>
      <c r="D17" s="209"/>
      <c r="E17" s="209"/>
      <c r="F17" s="209"/>
      <c r="G17" s="209"/>
      <c r="H17" s="5"/>
      <c r="I17" s="197"/>
      <c r="J17" s="197"/>
      <c r="K17" s="166"/>
      <c r="L17" s="167"/>
      <c r="M17" s="168"/>
      <c r="N17" s="197"/>
      <c r="O17" s="197"/>
      <c r="P17" s="197"/>
      <c r="Q17" s="178"/>
      <c r="R17" s="197"/>
      <c r="S17" s="209"/>
      <c r="T17" s="23"/>
      <c r="U17" s="197"/>
      <c r="V17" s="197"/>
      <c r="W17" s="166"/>
      <c r="X17" s="167"/>
      <c r="Y17" s="168"/>
      <c r="Z17" s="197"/>
      <c r="AA17" s="197"/>
      <c r="AB17" s="209"/>
    </row>
    <row r="18" spans="1:28" ht="18" customHeight="1" thickTop="1" thickBot="1" x14ac:dyDescent="0.35">
      <c r="A18" s="178" t="s">
        <v>313</v>
      </c>
      <c r="B18" s="178"/>
      <c r="C18" s="178">
        <v>0</v>
      </c>
      <c r="D18" s="178"/>
      <c r="E18" s="178"/>
      <c r="F18" s="178"/>
      <c r="G18" s="178"/>
      <c r="H18" s="5"/>
      <c r="I18" s="196"/>
      <c r="J18" s="196"/>
      <c r="K18" s="161"/>
      <c r="L18" s="162"/>
      <c r="M18" s="163"/>
      <c r="N18" s="196">
        <v>1</v>
      </c>
      <c r="O18" s="196">
        <v>0</v>
      </c>
      <c r="P18" s="196" t="s">
        <v>23</v>
      </c>
      <c r="Q18" s="178" t="str">
        <f t="shared" si="8"/>
        <v>6</v>
      </c>
      <c r="R18" s="196">
        <v>5</v>
      </c>
      <c r="S18" s="209">
        <f t="shared" ca="1" si="9"/>
        <v>31</v>
      </c>
      <c r="T18" s="23"/>
      <c r="U18" s="196"/>
      <c r="V18" s="196"/>
      <c r="W18" s="161"/>
      <c r="X18" s="162"/>
      <c r="Y18" s="163"/>
      <c r="Z18" s="196"/>
      <c r="AA18" s="196"/>
      <c r="AB18" s="209"/>
    </row>
    <row r="19" spans="1:28" ht="18" customHeight="1" thickTop="1" thickBot="1" x14ac:dyDescent="0.35">
      <c r="A19" s="178" t="s">
        <v>296</v>
      </c>
      <c r="B19" s="178">
        <v>1</v>
      </c>
      <c r="C19" s="178">
        <f>IF(B19&lt;10,1,IF(B19&lt;30,2,IF(B19&lt;70,3,IF(B19&lt;110,4,5))))</f>
        <v>1</v>
      </c>
      <c r="D19" s="158" t="str">
        <f>IF(B19&lt;10,"无",IF(B19&lt;30,"第二个及第二个以上的魔法效果只消耗1行动点",IF(B19&lt;70,"第二个及第二个以上的魔法效果只消耗1行动点、所有魔法效果消耗SP减半",IF(B19&lt;110,"第二个及第二个以上的魔法效果只消耗1行动点、所有魔法效果消耗SP减半、准备时间减少半行动轮","第二个及第二个以上的魔法效果只消耗1行动点、所有魔法效果消耗SP减半、准备时间减少半行动轮、进入准备仪式时不再露出破绽"))))</f>
        <v>无</v>
      </c>
      <c r="E19" s="158"/>
      <c r="F19" s="158"/>
      <c r="G19" s="158"/>
      <c r="H19" s="5"/>
      <c r="I19" s="197"/>
      <c r="J19" s="197"/>
      <c r="K19" s="166"/>
      <c r="L19" s="167"/>
      <c r="M19" s="168"/>
      <c r="N19" s="197"/>
      <c r="O19" s="197"/>
      <c r="P19" s="197"/>
      <c r="Q19" s="178"/>
      <c r="R19" s="197"/>
      <c r="S19" s="209"/>
      <c r="T19" s="23"/>
      <c r="U19" s="197"/>
      <c r="V19" s="197"/>
      <c r="W19" s="166"/>
      <c r="X19" s="167"/>
      <c r="Y19" s="168"/>
      <c r="Z19" s="197"/>
      <c r="AA19" s="197"/>
      <c r="AB19" s="209"/>
    </row>
    <row r="20" spans="1:28" ht="18" customHeight="1" thickTop="1" thickBot="1" x14ac:dyDescent="0.35">
      <c r="A20" s="178"/>
      <c r="B20" s="178"/>
      <c r="C20" s="178"/>
      <c r="D20" s="158"/>
      <c r="E20" s="158"/>
      <c r="F20" s="158"/>
      <c r="G20" s="158"/>
      <c r="H20" s="5"/>
      <c r="I20" s="196"/>
      <c r="J20" s="196"/>
      <c r="K20" s="161"/>
      <c r="L20" s="162"/>
      <c r="M20" s="163"/>
      <c r="N20" s="196">
        <v>1</v>
      </c>
      <c r="O20" s="196">
        <v>0</v>
      </c>
      <c r="P20" s="196" t="s">
        <v>23</v>
      </c>
      <c r="Q20" s="178" t="str">
        <f t="shared" ref="Q20" si="10">IF(N20&lt;10,"6",IF(N20&lt;20,"9",IF(N20&lt;30,"12",18)))</f>
        <v>6</v>
      </c>
      <c r="R20" s="196">
        <v>5</v>
      </c>
      <c r="S20" s="209">
        <f t="shared" ref="S20" ca="1" si="11">IF(SUM(INDIRECT("总表"&amp;"!K13"),N20)&lt;=50,SUM(INDIRECT("总表"&amp;"!K13"),N20),IF(SUM(INDIRECT("总表"&amp;"!K13"),N20)&lt;=80,(SUM(INDIRECT("总表"&amp;"!K13"),N20)-50)*0.7+50,(SUM(INDIRECT("总表"&amp;"!K13"),N20)-80)*0.4+71))</f>
        <v>31</v>
      </c>
      <c r="T20" s="23"/>
      <c r="U20" s="196"/>
      <c r="V20" s="196"/>
      <c r="W20" s="161"/>
      <c r="X20" s="162"/>
      <c r="Y20" s="163"/>
      <c r="Z20" s="196"/>
      <c r="AA20" s="196"/>
      <c r="AB20" s="209"/>
    </row>
    <row r="21" spans="1:28" ht="18" customHeight="1" thickTop="1" thickBot="1" x14ac:dyDescent="0.35">
      <c r="A21" s="178"/>
      <c r="B21" s="178"/>
      <c r="C21" s="178"/>
      <c r="D21" s="158"/>
      <c r="E21" s="158"/>
      <c r="F21" s="158"/>
      <c r="G21" s="158"/>
      <c r="H21" s="5"/>
      <c r="I21" s="197"/>
      <c r="J21" s="197"/>
      <c r="K21" s="166"/>
      <c r="L21" s="167"/>
      <c r="M21" s="168"/>
      <c r="N21" s="197"/>
      <c r="O21" s="197"/>
      <c r="P21" s="197"/>
      <c r="Q21" s="178"/>
      <c r="R21" s="197"/>
      <c r="S21" s="209"/>
      <c r="T21" s="23"/>
      <c r="U21" s="197"/>
      <c r="V21" s="197"/>
      <c r="W21" s="166"/>
      <c r="X21" s="167"/>
      <c r="Y21" s="168"/>
      <c r="Z21" s="197"/>
      <c r="AA21" s="197"/>
      <c r="AB21" s="209"/>
    </row>
    <row r="22" spans="1:28" ht="18" customHeight="1" thickTop="1" thickBot="1" x14ac:dyDescent="0.35">
      <c r="A22" s="178" t="s">
        <v>314</v>
      </c>
      <c r="B22" s="2" t="s">
        <v>157</v>
      </c>
      <c r="C22" s="2"/>
      <c r="D22" s="2"/>
      <c r="E22" s="2"/>
      <c r="F22" s="2"/>
      <c r="G22" s="2"/>
      <c r="H22" s="5"/>
      <c r="I22" s="196"/>
      <c r="J22" s="196"/>
      <c r="K22" s="161"/>
      <c r="L22" s="162"/>
      <c r="M22" s="163"/>
      <c r="N22" s="196">
        <v>1</v>
      </c>
      <c r="O22" s="196">
        <v>0</v>
      </c>
      <c r="P22" s="196" t="s">
        <v>23</v>
      </c>
      <c r="Q22" s="178" t="str">
        <f t="shared" ref="Q22" si="12">IF(N22&lt;10,"6",IF(N22&lt;20,"9",IF(N22&lt;30,"12",18)))</f>
        <v>6</v>
      </c>
      <c r="R22" s="196">
        <v>5</v>
      </c>
      <c r="S22" s="209">
        <f t="shared" ref="S22" ca="1" si="13">IF(SUM(INDIRECT("总表"&amp;"!K13"),N22)&lt;=50,SUM(INDIRECT("总表"&amp;"!K13"),N22),IF(SUM(INDIRECT("总表"&amp;"!K13"),N22)&lt;=80,(SUM(INDIRECT("总表"&amp;"!K13"),N22)-50)*0.7+50,(SUM(INDIRECT("总表"&amp;"!K13"),N22)-80)*0.4+71))</f>
        <v>31</v>
      </c>
      <c r="T22" s="23"/>
      <c r="U22" s="196"/>
      <c r="V22" s="196"/>
      <c r="W22" s="161"/>
      <c r="X22" s="162"/>
      <c r="Y22" s="163"/>
      <c r="Z22" s="196"/>
      <c r="AA22" s="196"/>
      <c r="AB22" s="209"/>
    </row>
    <row r="23" spans="1:28" ht="18" customHeight="1" thickTop="1" thickBot="1" x14ac:dyDescent="0.35">
      <c r="A23" s="178"/>
      <c r="B23" s="2" t="s">
        <v>315</v>
      </c>
      <c r="C23" s="20"/>
      <c r="D23" s="2"/>
      <c r="E23" s="2"/>
      <c r="F23" s="2"/>
      <c r="G23" s="2"/>
      <c r="H23" s="5"/>
      <c r="I23" s="197"/>
      <c r="J23" s="197"/>
      <c r="K23" s="166"/>
      <c r="L23" s="167"/>
      <c r="M23" s="168"/>
      <c r="N23" s="197"/>
      <c r="O23" s="197"/>
      <c r="P23" s="197"/>
      <c r="Q23" s="178"/>
      <c r="R23" s="197"/>
      <c r="S23" s="209"/>
      <c r="T23" s="23"/>
      <c r="U23" s="197"/>
      <c r="V23" s="197"/>
      <c r="W23" s="166"/>
      <c r="X23" s="167"/>
      <c r="Y23" s="168"/>
      <c r="Z23" s="197"/>
      <c r="AA23" s="197"/>
      <c r="AB23" s="209"/>
    </row>
    <row r="24" spans="1:28" ht="18" customHeight="1" thickTop="1" thickBot="1" x14ac:dyDescent="0.35">
      <c r="A24" s="178"/>
      <c r="B24" s="2" t="s">
        <v>157</v>
      </c>
      <c r="C24" s="20"/>
      <c r="D24" s="2"/>
      <c r="E24" s="2"/>
      <c r="F24" s="2"/>
      <c r="G24" s="2"/>
      <c r="H24" s="5"/>
      <c r="I24" s="196"/>
      <c r="J24" s="196"/>
      <c r="K24" s="161"/>
      <c r="L24" s="162"/>
      <c r="M24" s="163"/>
      <c r="N24" s="196">
        <v>1</v>
      </c>
      <c r="O24" s="196">
        <v>0</v>
      </c>
      <c r="P24" s="196" t="s">
        <v>23</v>
      </c>
      <c r="Q24" s="178" t="str">
        <f>IF(N24&lt;10,"6",IF(N24&lt;20,"9",IF(N24&lt;30,"12",18)))</f>
        <v>6</v>
      </c>
      <c r="R24" s="196">
        <v>5</v>
      </c>
      <c r="S24" s="209">
        <f ca="1">IF(SUM(INDIRECT("总表"&amp;"!K13"),N24)&lt;=50,SUM(INDIRECT("总表"&amp;"!K13"),N24),IF(SUM(INDIRECT("总表"&amp;"!K13"),N24)&lt;=80,(SUM(INDIRECT("总表"&amp;"!K13"),N24)-50)*0.7+50,(SUM(INDIRECT("总表"&amp;"!K13"),N24)-80)*0.4+71))</f>
        <v>31</v>
      </c>
      <c r="T24" s="23"/>
      <c r="U24" s="196"/>
      <c r="V24" s="196"/>
      <c r="W24" s="161"/>
      <c r="X24" s="162"/>
      <c r="Y24" s="163"/>
      <c r="Z24" s="196"/>
      <c r="AA24" s="196"/>
      <c r="AB24" s="209"/>
    </row>
    <row r="25" spans="1:28" ht="18" customHeight="1" thickTop="1" thickBot="1" x14ac:dyDescent="0.35">
      <c r="A25" s="178"/>
      <c r="B25" s="2" t="s">
        <v>315</v>
      </c>
      <c r="C25" s="20"/>
      <c r="D25" s="2"/>
      <c r="E25" s="2"/>
      <c r="F25" s="2"/>
      <c r="G25" s="2"/>
      <c r="H25" s="5"/>
      <c r="I25" s="197"/>
      <c r="J25" s="197"/>
      <c r="K25" s="166"/>
      <c r="L25" s="167"/>
      <c r="M25" s="168"/>
      <c r="N25" s="197"/>
      <c r="O25" s="197"/>
      <c r="P25" s="197"/>
      <c r="Q25" s="178"/>
      <c r="R25" s="197"/>
      <c r="S25" s="209"/>
      <c r="T25" s="23"/>
      <c r="U25" s="197"/>
      <c r="V25" s="197"/>
      <c r="W25" s="166"/>
      <c r="X25" s="167"/>
      <c r="Y25" s="168"/>
      <c r="Z25" s="197"/>
      <c r="AA25" s="197"/>
      <c r="AB25" s="209"/>
    </row>
    <row r="26" spans="1:28" ht="18" customHeight="1" thickTop="1" thickBot="1" x14ac:dyDescent="0.35">
      <c r="A26" s="178"/>
      <c r="B26" s="2" t="s">
        <v>157</v>
      </c>
      <c r="C26" s="20"/>
      <c r="D26" s="2"/>
      <c r="E26" s="2"/>
      <c r="F26" s="2"/>
      <c r="G26" s="2"/>
      <c r="H26" s="5"/>
      <c r="I26" s="196"/>
      <c r="J26" s="196"/>
      <c r="K26" s="161"/>
      <c r="L26" s="162"/>
      <c r="M26" s="163"/>
      <c r="N26" s="196">
        <v>1</v>
      </c>
      <c r="O26" s="196">
        <v>0</v>
      </c>
      <c r="P26" s="196" t="s">
        <v>23</v>
      </c>
      <c r="Q26" s="178" t="str">
        <f t="shared" ref="Q26" si="14">IF(N26&lt;10,"6",IF(N26&lt;20,"9",IF(N26&lt;30,"12",18)))</f>
        <v>6</v>
      </c>
      <c r="R26" s="196">
        <v>5</v>
      </c>
      <c r="S26" s="209">
        <f t="shared" ref="S26" ca="1" si="15">IF(SUM(INDIRECT("总表"&amp;"!K13"),N26)&lt;=50,SUM(INDIRECT("总表"&amp;"!K13"),N26),IF(SUM(INDIRECT("总表"&amp;"!K13"),N26)&lt;=80,(SUM(INDIRECT("总表"&amp;"!K13"),N26)-50)*0.7+50,(SUM(INDIRECT("总表"&amp;"!K13"),N26)-80)*0.4+71))</f>
        <v>31</v>
      </c>
      <c r="T26" s="23"/>
      <c r="U26" s="196"/>
      <c r="V26" s="196"/>
      <c r="W26" s="161"/>
      <c r="X26" s="162"/>
      <c r="Y26" s="163"/>
      <c r="Z26" s="196"/>
      <c r="AA26" s="196"/>
      <c r="AB26" s="209"/>
    </row>
    <row r="27" spans="1:28" ht="18" customHeight="1" thickTop="1" thickBot="1" x14ac:dyDescent="0.35">
      <c r="A27" s="178"/>
      <c r="B27" s="2" t="s">
        <v>315</v>
      </c>
      <c r="C27" s="2"/>
      <c r="D27" s="2"/>
      <c r="E27" s="2"/>
      <c r="F27" s="2"/>
      <c r="G27" s="2"/>
      <c r="H27" s="5"/>
      <c r="I27" s="197"/>
      <c r="J27" s="197"/>
      <c r="K27" s="166"/>
      <c r="L27" s="167"/>
      <c r="M27" s="168"/>
      <c r="N27" s="197"/>
      <c r="O27" s="197"/>
      <c r="P27" s="197"/>
      <c r="Q27" s="178"/>
      <c r="R27" s="197"/>
      <c r="S27" s="209"/>
      <c r="T27" s="23"/>
      <c r="U27" s="197"/>
      <c r="V27" s="197"/>
      <c r="W27" s="166"/>
      <c r="X27" s="167"/>
      <c r="Y27" s="168"/>
      <c r="Z27" s="197"/>
      <c r="AA27" s="197"/>
      <c r="AB27" s="209"/>
    </row>
    <row r="28" spans="1:28" ht="18" customHeight="1" thickTop="1" thickBot="1" x14ac:dyDescent="0.35">
      <c r="A28" s="178"/>
      <c r="B28" s="2" t="s">
        <v>157</v>
      </c>
      <c r="C28" s="2"/>
      <c r="D28" s="2"/>
      <c r="E28" s="2"/>
      <c r="F28" s="2"/>
      <c r="G28" s="2"/>
      <c r="H28" s="5"/>
      <c r="I28" s="196"/>
      <c r="J28" s="196"/>
      <c r="K28" s="161"/>
      <c r="L28" s="162"/>
      <c r="M28" s="163"/>
      <c r="N28" s="196">
        <v>1</v>
      </c>
      <c r="O28" s="196">
        <v>0</v>
      </c>
      <c r="P28" s="196" t="s">
        <v>23</v>
      </c>
      <c r="Q28" s="178" t="str">
        <f t="shared" ref="Q28" si="16">IF(N28&lt;10,"6",IF(N28&lt;20,"9",IF(N28&lt;30,"12",18)))</f>
        <v>6</v>
      </c>
      <c r="R28" s="196">
        <v>5</v>
      </c>
      <c r="S28" s="209">
        <f t="shared" ref="S28" ca="1" si="17">IF(SUM(INDIRECT("总表"&amp;"!K13"),N28)&lt;=50,SUM(INDIRECT("总表"&amp;"!K13"),N28),IF(SUM(INDIRECT("总表"&amp;"!K13"),N28)&lt;=80,(SUM(INDIRECT("总表"&amp;"!K13"),N28)-50)*0.7+50,(SUM(INDIRECT("总表"&amp;"!K13"),N28)-80)*0.4+71))</f>
        <v>31</v>
      </c>
      <c r="T28" s="23"/>
      <c r="U28" s="196"/>
      <c r="V28" s="196"/>
      <c r="W28" s="161"/>
      <c r="X28" s="162"/>
      <c r="Y28" s="163"/>
      <c r="Z28" s="196"/>
      <c r="AA28" s="196"/>
      <c r="AB28" s="209"/>
    </row>
    <row r="29" spans="1:28" ht="18" customHeight="1" thickTop="1" thickBot="1" x14ac:dyDescent="0.35">
      <c r="A29" s="178"/>
      <c r="B29" s="2" t="s">
        <v>315</v>
      </c>
      <c r="C29" s="2"/>
      <c r="D29" s="2"/>
      <c r="E29" s="2"/>
      <c r="F29" s="2"/>
      <c r="G29" s="2"/>
      <c r="H29" s="5"/>
      <c r="I29" s="197"/>
      <c r="J29" s="197"/>
      <c r="K29" s="166"/>
      <c r="L29" s="167"/>
      <c r="M29" s="168"/>
      <c r="N29" s="197"/>
      <c r="O29" s="197"/>
      <c r="P29" s="197"/>
      <c r="Q29" s="178"/>
      <c r="R29" s="197"/>
      <c r="S29" s="209"/>
      <c r="T29" s="23"/>
      <c r="U29" s="197"/>
      <c r="V29" s="197"/>
      <c r="W29" s="166"/>
      <c r="X29" s="167"/>
      <c r="Y29" s="168"/>
      <c r="Z29" s="197"/>
      <c r="AA29" s="197"/>
      <c r="AB29" s="209"/>
    </row>
    <row r="30" spans="1:28" ht="18" customHeight="1" thickTop="1" x14ac:dyDescent="0.3"/>
    <row r="33" spans="1:14" ht="18" customHeight="1" x14ac:dyDescent="0.3">
      <c r="J33" s="21"/>
      <c r="K33" s="21"/>
      <c r="L33" s="21"/>
      <c r="M33" s="21"/>
      <c r="N33" s="21"/>
    </row>
    <row r="34" spans="1:14" ht="18" customHeight="1" x14ac:dyDescent="0.3">
      <c r="J34" s="21"/>
      <c r="K34" s="21"/>
      <c r="L34" s="21"/>
      <c r="M34" s="21"/>
      <c r="N34" s="21"/>
    </row>
    <row r="35" spans="1:14" ht="18" customHeight="1" x14ac:dyDescent="0.3">
      <c r="J35" s="21"/>
      <c r="K35" s="21"/>
      <c r="L35" s="21"/>
      <c r="M35" s="21"/>
      <c r="N35" s="21"/>
    </row>
    <row r="36" spans="1:14" ht="18" customHeight="1" x14ac:dyDescent="0.3">
      <c r="J36" s="21"/>
      <c r="K36" s="21"/>
      <c r="L36" s="21"/>
      <c r="M36" s="21"/>
      <c r="N36" s="21"/>
    </row>
    <row r="37" spans="1:14" ht="18" customHeight="1" x14ac:dyDescent="0.3">
      <c r="J37" s="21"/>
      <c r="K37" s="21"/>
      <c r="L37" s="21"/>
      <c r="M37" s="21"/>
      <c r="N37" s="21"/>
    </row>
    <row r="38" spans="1:14" ht="18" customHeight="1" x14ac:dyDescent="0.3">
      <c r="J38" s="21"/>
      <c r="K38" s="21"/>
      <c r="L38" s="21"/>
      <c r="M38" s="21"/>
      <c r="N38" s="21"/>
    </row>
    <row r="39" spans="1:14" ht="18" customHeight="1" x14ac:dyDescent="0.3">
      <c r="J39" s="21"/>
      <c r="K39" s="21"/>
      <c r="L39" s="21"/>
      <c r="M39" s="21"/>
      <c r="N39" s="21"/>
    </row>
    <row r="40" spans="1:14" ht="18" customHeight="1" x14ac:dyDescent="0.3">
      <c r="J40" s="21"/>
      <c r="K40" s="21"/>
      <c r="L40" s="21"/>
      <c r="M40" s="21"/>
      <c r="N40" s="21"/>
    </row>
    <row r="41" spans="1:14" ht="18" customHeight="1" x14ac:dyDescent="0.3">
      <c r="J41" s="21"/>
      <c r="K41" s="21"/>
      <c r="L41" s="21"/>
      <c r="M41" s="21"/>
      <c r="N41" s="21"/>
    </row>
    <row r="42" spans="1:14" ht="18" customHeight="1" x14ac:dyDescent="0.3">
      <c r="J42" s="21"/>
      <c r="K42" s="21"/>
      <c r="L42" s="21"/>
      <c r="M42" s="21"/>
      <c r="N42" s="21"/>
    </row>
    <row r="44" spans="1:14" ht="18" customHeight="1" x14ac:dyDescent="0.3">
      <c r="A44" s="16" t="s">
        <v>303</v>
      </c>
      <c r="B44" s="16" t="s">
        <v>303</v>
      </c>
    </row>
    <row r="45" spans="1:14" ht="18" customHeight="1" x14ac:dyDescent="0.3">
      <c r="A45" s="16" t="s">
        <v>308</v>
      </c>
      <c r="B45" s="16" t="s">
        <v>308</v>
      </c>
    </row>
    <row r="46" spans="1:14" ht="18" customHeight="1" x14ac:dyDescent="0.3">
      <c r="A46" s="16" t="s">
        <v>309</v>
      </c>
      <c r="B46" s="16" t="s">
        <v>296</v>
      </c>
    </row>
    <row r="47" spans="1:14" ht="18" customHeight="1" x14ac:dyDescent="0.3">
      <c r="B47" s="16" t="s">
        <v>309</v>
      </c>
    </row>
  </sheetData>
  <mergeCells count="230">
    <mergeCell ref="K3:M3"/>
    <mergeCell ref="O3:Q3"/>
    <mergeCell ref="W3:Y3"/>
    <mergeCell ref="D5:G5"/>
    <mergeCell ref="A12:B12"/>
    <mergeCell ref="C12:G12"/>
    <mergeCell ref="A13:B13"/>
    <mergeCell ref="C13:G13"/>
    <mergeCell ref="A17:B17"/>
    <mergeCell ref="C17:G17"/>
    <mergeCell ref="I4:I5"/>
    <mergeCell ref="I6:I7"/>
    <mergeCell ref="I8:I9"/>
    <mergeCell ref="I10:I11"/>
    <mergeCell ref="I12:I13"/>
    <mergeCell ref="I14:I15"/>
    <mergeCell ref="I16:I17"/>
    <mergeCell ref="N4:N5"/>
    <mergeCell ref="N6:N7"/>
    <mergeCell ref="N8:N9"/>
    <mergeCell ref="N10:N11"/>
    <mergeCell ref="N12:N13"/>
    <mergeCell ref="N14:N15"/>
    <mergeCell ref="N16:N17"/>
    <mergeCell ref="A18:B18"/>
    <mergeCell ref="C18:G18"/>
    <mergeCell ref="A3:A4"/>
    <mergeCell ref="A6:A8"/>
    <mergeCell ref="A9:A11"/>
    <mergeCell ref="A14:A16"/>
    <mergeCell ref="A19:A21"/>
    <mergeCell ref="A22:A29"/>
    <mergeCell ref="B3:B4"/>
    <mergeCell ref="B6:B8"/>
    <mergeCell ref="B9:B11"/>
    <mergeCell ref="B14:B16"/>
    <mergeCell ref="B19:B21"/>
    <mergeCell ref="C6:C8"/>
    <mergeCell ref="C9:C11"/>
    <mergeCell ref="C14:C16"/>
    <mergeCell ref="C19:C21"/>
    <mergeCell ref="P24:P25"/>
    <mergeCell ref="P26:P27"/>
    <mergeCell ref="I18:I19"/>
    <mergeCell ref="I20:I21"/>
    <mergeCell ref="I22:I23"/>
    <mergeCell ref="I24:I25"/>
    <mergeCell ref="I26:I27"/>
    <mergeCell ref="I28:I29"/>
    <mergeCell ref="J4:J5"/>
    <mergeCell ref="J6:J7"/>
    <mergeCell ref="J8:J9"/>
    <mergeCell ref="J10:J11"/>
    <mergeCell ref="J12:J13"/>
    <mergeCell ref="J14:J15"/>
    <mergeCell ref="J16:J17"/>
    <mergeCell ref="J18:J19"/>
    <mergeCell ref="J20:J21"/>
    <mergeCell ref="J22:J23"/>
    <mergeCell ref="J24:J25"/>
    <mergeCell ref="J26:J27"/>
    <mergeCell ref="J28:J29"/>
    <mergeCell ref="N18:N19"/>
    <mergeCell ref="N20:N21"/>
    <mergeCell ref="N22:N23"/>
    <mergeCell ref="N24:N25"/>
    <mergeCell ref="N26:N27"/>
    <mergeCell ref="N28:N29"/>
    <mergeCell ref="O4:O5"/>
    <mergeCell ref="O6:O7"/>
    <mergeCell ref="O8:O9"/>
    <mergeCell ref="O10:O11"/>
    <mergeCell ref="O12:O13"/>
    <mergeCell ref="O14:O15"/>
    <mergeCell ref="O16:O17"/>
    <mergeCell ref="O18:O19"/>
    <mergeCell ref="O20:O21"/>
    <mergeCell ref="O22:O23"/>
    <mergeCell ref="O24:O25"/>
    <mergeCell ref="O26:O27"/>
    <mergeCell ref="O28:O29"/>
    <mergeCell ref="P28:P29"/>
    <mergeCell ref="Q4:Q5"/>
    <mergeCell ref="Q6:Q7"/>
    <mergeCell ref="Q8:Q9"/>
    <mergeCell ref="Q10:Q11"/>
    <mergeCell ref="Q12:Q13"/>
    <mergeCell ref="Q14:Q15"/>
    <mergeCell ref="Q16:Q17"/>
    <mergeCell ref="Q18:Q19"/>
    <mergeCell ref="Q20:Q21"/>
    <mergeCell ref="Q22:Q23"/>
    <mergeCell ref="Q24:Q25"/>
    <mergeCell ref="Q26:Q27"/>
    <mergeCell ref="Q28:Q29"/>
    <mergeCell ref="P4:P5"/>
    <mergeCell ref="P6:P7"/>
    <mergeCell ref="P8:P9"/>
    <mergeCell ref="P10:P11"/>
    <mergeCell ref="P12:P13"/>
    <mergeCell ref="P14:P15"/>
    <mergeCell ref="P16:P17"/>
    <mergeCell ref="P18:P19"/>
    <mergeCell ref="P20:P21"/>
    <mergeCell ref="P22:P23"/>
    <mergeCell ref="S22:S23"/>
    <mergeCell ref="S24:S25"/>
    <mergeCell ref="S26:S27"/>
    <mergeCell ref="S28:S29"/>
    <mergeCell ref="R4:R5"/>
    <mergeCell ref="R6:R7"/>
    <mergeCell ref="R8:R9"/>
    <mergeCell ref="R10:R11"/>
    <mergeCell ref="R12:R13"/>
    <mergeCell ref="R14:R15"/>
    <mergeCell ref="R16:R17"/>
    <mergeCell ref="R18:R19"/>
    <mergeCell ref="R20:R21"/>
    <mergeCell ref="S4:S5"/>
    <mergeCell ref="S6:S7"/>
    <mergeCell ref="S8:S9"/>
    <mergeCell ref="S10:S11"/>
    <mergeCell ref="S12:S13"/>
    <mergeCell ref="S14:S15"/>
    <mergeCell ref="S16:S17"/>
    <mergeCell ref="S18:S19"/>
    <mergeCell ref="S20:S21"/>
    <mergeCell ref="U4:U5"/>
    <mergeCell ref="U6:U7"/>
    <mergeCell ref="U8:U9"/>
    <mergeCell ref="U10:U11"/>
    <mergeCell ref="U12:U13"/>
    <mergeCell ref="U14:U15"/>
    <mergeCell ref="U16:U17"/>
    <mergeCell ref="U18:U19"/>
    <mergeCell ref="U20:U21"/>
    <mergeCell ref="V4:V5"/>
    <mergeCell ref="V6:V7"/>
    <mergeCell ref="V8:V9"/>
    <mergeCell ref="V10:V11"/>
    <mergeCell ref="V12:V13"/>
    <mergeCell ref="V14:V15"/>
    <mergeCell ref="V16:V17"/>
    <mergeCell ref="V18:V19"/>
    <mergeCell ref="V20:V21"/>
    <mergeCell ref="AA22:AA23"/>
    <mergeCell ref="AA24:AA25"/>
    <mergeCell ref="AA26:AA27"/>
    <mergeCell ref="AA28:AA29"/>
    <mergeCell ref="Z4:Z5"/>
    <mergeCell ref="Z6:Z7"/>
    <mergeCell ref="Z8:Z9"/>
    <mergeCell ref="Z10:Z11"/>
    <mergeCell ref="Z12:Z13"/>
    <mergeCell ref="Z14:Z15"/>
    <mergeCell ref="Z16:Z17"/>
    <mergeCell ref="Z18:Z19"/>
    <mergeCell ref="Z20:Z21"/>
    <mergeCell ref="AB22:AB23"/>
    <mergeCell ref="AB24:AB25"/>
    <mergeCell ref="AB26:AB27"/>
    <mergeCell ref="AB28:AB29"/>
    <mergeCell ref="K18:M19"/>
    <mergeCell ref="W18:Y19"/>
    <mergeCell ref="K16:M17"/>
    <mergeCell ref="W16:Y17"/>
    <mergeCell ref="K6:M7"/>
    <mergeCell ref="W6:Y7"/>
    <mergeCell ref="K8:M9"/>
    <mergeCell ref="W8:Y9"/>
    <mergeCell ref="AB6:AB7"/>
    <mergeCell ref="AB8:AB9"/>
    <mergeCell ref="AB10:AB11"/>
    <mergeCell ref="AB12:AB13"/>
    <mergeCell ref="AB14:AB15"/>
    <mergeCell ref="AB16:AB17"/>
    <mergeCell ref="AB18:AB19"/>
    <mergeCell ref="AB20:AB21"/>
    <mergeCell ref="Z22:Z23"/>
    <mergeCell ref="Z24:Z25"/>
    <mergeCell ref="Z26:Z27"/>
    <mergeCell ref="Z28:Z29"/>
    <mergeCell ref="K24:M25"/>
    <mergeCell ref="W24:Y25"/>
    <mergeCell ref="K22:M23"/>
    <mergeCell ref="W22:Y23"/>
    <mergeCell ref="K20:M21"/>
    <mergeCell ref="W20:Y21"/>
    <mergeCell ref="K28:M29"/>
    <mergeCell ref="W28:Y29"/>
    <mergeCell ref="K14:M15"/>
    <mergeCell ref="W14:Y15"/>
    <mergeCell ref="K26:M27"/>
    <mergeCell ref="W26:Y27"/>
    <mergeCell ref="U22:U23"/>
    <mergeCell ref="U24:U25"/>
    <mergeCell ref="U26:U27"/>
    <mergeCell ref="U28:U29"/>
    <mergeCell ref="V22:V23"/>
    <mergeCell ref="V24:V25"/>
    <mergeCell ref="V26:V27"/>
    <mergeCell ref="V28:V29"/>
    <mergeCell ref="R22:R23"/>
    <mergeCell ref="R24:R25"/>
    <mergeCell ref="R26:R27"/>
    <mergeCell ref="R28:R29"/>
    <mergeCell ref="I1:S2"/>
    <mergeCell ref="U1:AB2"/>
    <mergeCell ref="C3:G4"/>
    <mergeCell ref="A1:G2"/>
    <mergeCell ref="D6:G8"/>
    <mergeCell ref="D9:G11"/>
    <mergeCell ref="D14:G16"/>
    <mergeCell ref="D19:G21"/>
    <mergeCell ref="K4:M5"/>
    <mergeCell ref="W4:Y5"/>
    <mergeCell ref="K12:M13"/>
    <mergeCell ref="W12:Y13"/>
    <mergeCell ref="K10:M11"/>
    <mergeCell ref="W10:Y11"/>
    <mergeCell ref="AB4:AB5"/>
    <mergeCell ref="AA4:AA5"/>
    <mergeCell ref="AA6:AA7"/>
    <mergeCell ref="AA8:AA9"/>
    <mergeCell ref="AA10:AA11"/>
    <mergeCell ref="AA12:AA13"/>
    <mergeCell ref="AA14:AA15"/>
    <mergeCell ref="AA16:AA17"/>
    <mergeCell ref="AA18:AA19"/>
    <mergeCell ref="AA20:AA21"/>
  </mergeCells>
  <phoneticPr fontId="47" type="noConversion"/>
  <dataValidations count="2">
    <dataValidation type="list" allowBlank="1" showInputMessage="1" showErrorMessage="1" sqref="B3:B4 J10:J29" xr:uid="{00000000-0002-0000-0A00-000000000000}">
      <formula1>$B$44:$B$47</formula1>
    </dataValidation>
    <dataValidation type="list" allowBlank="1" showInputMessage="1" showErrorMessage="1" sqref="J4:J5 J6:J7 J8:J9" xr:uid="{34F9DEBF-4676-42BB-A246-95F47D74D293}">
      <formula1>$A$44:$A$46</formula1>
    </dataValidation>
  </dataValidations>
  <pageMargins left="0.7" right="0.7" top="0.75" bottom="0.75" header="0.3" footer="0.3"/>
  <legacy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6"/>
  <dimension ref="A1:AF20"/>
  <sheetViews>
    <sheetView workbookViewId="0">
      <selection activeCell="K14" sqref="K14:O15"/>
    </sheetView>
  </sheetViews>
  <sheetFormatPr defaultColWidth="9.75" defaultRowHeight="20.399999999999999" customHeight="1" x14ac:dyDescent="0.3"/>
  <sheetData>
    <row r="1" spans="1:32" ht="20.399999999999999" customHeight="1" thickBot="1" x14ac:dyDescent="0.45">
      <c r="A1" s="108" t="s">
        <v>316</v>
      </c>
      <c r="B1" s="108"/>
      <c r="C1" s="108"/>
      <c r="D1" s="108"/>
      <c r="E1" s="108"/>
      <c r="G1" s="231" t="s">
        <v>317</v>
      </c>
      <c r="H1" s="231"/>
      <c r="I1" s="231"/>
      <c r="J1" s="231"/>
      <c r="K1" s="231"/>
      <c r="L1" s="231"/>
      <c r="M1" s="231"/>
      <c r="N1" s="231"/>
      <c r="O1" s="231"/>
      <c r="P1" s="231"/>
      <c r="Q1" s="231"/>
      <c r="R1" s="231"/>
      <c r="S1" s="231"/>
      <c r="T1" s="231"/>
      <c r="U1" s="15"/>
      <c r="V1" s="15"/>
      <c r="W1" s="15"/>
      <c r="X1" s="15"/>
      <c r="AC1" cm="1">
        <f t="array" aca="1" ref="AC1" ca="1">INDIRECT("经历点数与履历"&amp;"!D5")*AC2*AC3</f>
        <v>1600</v>
      </c>
      <c r="AE1">
        <v>0</v>
      </c>
      <c r="AF1">
        <v>200</v>
      </c>
    </row>
    <row r="2" spans="1:32" ht="20.399999999999999" customHeight="1" thickTop="1" thickBot="1" x14ac:dyDescent="0.35">
      <c r="A2" s="11" t="s">
        <v>318</v>
      </c>
      <c r="B2" s="107" t="s">
        <v>319</v>
      </c>
      <c r="C2" s="107"/>
      <c r="D2" s="11" t="s">
        <v>359</v>
      </c>
      <c r="E2" s="12">
        <v>7</v>
      </c>
      <c r="G2" s="232"/>
      <c r="H2" s="232"/>
      <c r="I2" s="232"/>
      <c r="J2" s="232"/>
      <c r="K2" s="232"/>
      <c r="L2" s="232"/>
      <c r="M2" s="232"/>
      <c r="N2" s="232"/>
      <c r="O2" s="232"/>
      <c r="P2" s="232"/>
      <c r="Q2" s="232"/>
      <c r="R2" s="232"/>
      <c r="S2" s="232"/>
      <c r="T2" s="232"/>
      <c r="U2" s="15"/>
      <c r="V2" s="15"/>
      <c r="W2" s="15"/>
      <c r="X2" s="15"/>
      <c r="AC2" cm="1">
        <f t="array" aca="1" ref="AC2" ca="1">LOOKUP(INDIRECT("经历点数与履历"&amp;"!D5"),AE1:AE6,AF1:AF6)</f>
        <v>200</v>
      </c>
      <c r="AE2">
        <v>20</v>
      </c>
      <c r="AF2">
        <v>250</v>
      </c>
    </row>
    <row r="3" spans="1:32" ht="20.399999999999999" customHeight="1" thickTop="1" thickBot="1" x14ac:dyDescent="0.35">
      <c r="A3" s="11" t="s">
        <v>358</v>
      </c>
      <c r="B3" s="63" t="str">
        <f ca="1">AC1 &amp; "通"</f>
        <v>1600通</v>
      </c>
      <c r="C3" s="63" t="str">
        <f ca="1">AC1/200 &amp; "贯"</f>
        <v>8贯</v>
      </c>
      <c r="D3" s="11" t="s">
        <v>360</v>
      </c>
      <c r="E3" s="12" t="s">
        <v>352</v>
      </c>
      <c r="G3" s="13" t="s">
        <v>320</v>
      </c>
      <c r="H3" s="13" t="s">
        <v>321</v>
      </c>
      <c r="I3" s="13" t="s">
        <v>380</v>
      </c>
      <c r="J3" s="13" t="s">
        <v>381</v>
      </c>
      <c r="K3" s="230" t="s">
        <v>96</v>
      </c>
      <c r="L3" s="230"/>
      <c r="M3" s="230"/>
      <c r="N3" s="230"/>
      <c r="O3" s="230"/>
      <c r="P3" s="230" t="s">
        <v>104</v>
      </c>
      <c r="Q3" s="230"/>
      <c r="R3" s="230"/>
      <c r="S3" s="230"/>
      <c r="T3" s="230"/>
      <c r="U3" s="15"/>
      <c r="V3" s="15"/>
      <c r="W3" s="15"/>
      <c r="X3" s="15"/>
      <c r="AC3">
        <f>1+(E2-1)/10</f>
        <v>1.6</v>
      </c>
      <c r="AE3">
        <v>25</v>
      </c>
      <c r="AF3">
        <v>300</v>
      </c>
    </row>
    <row r="4" spans="1:32" ht="20.399999999999999" customHeight="1" thickTop="1" x14ac:dyDescent="0.3">
      <c r="A4" s="233" t="s">
        <v>322</v>
      </c>
      <c r="B4" s="235" t="s">
        <v>323</v>
      </c>
      <c r="C4" s="235"/>
      <c r="D4" s="235"/>
      <c r="E4" s="235"/>
      <c r="G4" s="132" t="s">
        <v>324</v>
      </c>
      <c r="H4" s="132">
        <v>4</v>
      </c>
      <c r="I4" s="132">
        <v>1</v>
      </c>
      <c r="J4" s="132">
        <v>7</v>
      </c>
      <c r="K4" s="132" t="s">
        <v>325</v>
      </c>
      <c r="L4" s="132"/>
      <c r="M4" s="132"/>
      <c r="N4" s="132"/>
      <c r="O4" s="132"/>
      <c r="P4" s="229" t="s">
        <v>377</v>
      </c>
      <c r="Q4" s="132"/>
      <c r="R4" s="132"/>
      <c r="S4" s="132"/>
      <c r="T4" s="132"/>
      <c r="U4" s="15"/>
      <c r="V4" s="15"/>
      <c r="W4" s="15"/>
      <c r="X4" s="15"/>
      <c r="AE4">
        <v>30</v>
      </c>
      <c r="AF4">
        <v>350</v>
      </c>
    </row>
    <row r="5" spans="1:32" ht="20.399999999999999" customHeight="1" thickBot="1" x14ac:dyDescent="0.35">
      <c r="A5" s="234"/>
      <c r="B5" s="111"/>
      <c r="C5" s="111"/>
      <c r="D5" s="111"/>
      <c r="E5" s="111"/>
      <c r="G5" s="133"/>
      <c r="H5" s="133"/>
      <c r="I5" s="133"/>
      <c r="J5" s="133"/>
      <c r="K5" s="133"/>
      <c r="L5" s="133"/>
      <c r="M5" s="133"/>
      <c r="N5" s="133"/>
      <c r="O5" s="133"/>
      <c r="P5" s="133"/>
      <c r="Q5" s="133"/>
      <c r="R5" s="133"/>
      <c r="S5" s="133"/>
      <c r="T5" s="133"/>
      <c r="U5" s="15"/>
      <c r="V5" s="15"/>
      <c r="W5" s="15"/>
      <c r="X5" s="15"/>
      <c r="AE5">
        <v>35</v>
      </c>
      <c r="AF5">
        <v>400</v>
      </c>
    </row>
    <row r="6" spans="1:32" ht="20.399999999999999" customHeight="1" thickTop="1" thickBot="1" x14ac:dyDescent="0.45">
      <c r="A6" s="238" t="s">
        <v>391</v>
      </c>
      <c r="B6" s="108"/>
      <c r="C6" s="108"/>
      <c r="D6" s="108"/>
      <c r="E6" s="108"/>
      <c r="G6" s="132" t="s">
        <v>355</v>
      </c>
      <c r="H6" s="132">
        <v>1</v>
      </c>
      <c r="I6" s="132">
        <v>2</v>
      </c>
      <c r="J6" s="132">
        <v>7</v>
      </c>
      <c r="K6" s="132" t="s">
        <v>356</v>
      </c>
      <c r="L6" s="132"/>
      <c r="M6" s="132"/>
      <c r="N6" s="132"/>
      <c r="O6" s="132"/>
      <c r="P6" s="132" t="s">
        <v>357</v>
      </c>
      <c r="Q6" s="132"/>
      <c r="R6" s="132"/>
      <c r="S6" s="132"/>
      <c r="T6" s="132"/>
      <c r="U6" s="15"/>
      <c r="V6" s="15"/>
      <c r="W6" s="15"/>
      <c r="X6" s="15"/>
      <c r="AE6">
        <v>40</v>
      </c>
      <c r="AF6">
        <v>450</v>
      </c>
    </row>
    <row r="7" spans="1:32" ht="20.399999999999999" customHeight="1" thickTop="1" thickBot="1" x14ac:dyDescent="0.35">
      <c r="A7" s="66" t="s">
        <v>392</v>
      </c>
      <c r="B7" s="66" t="s">
        <v>393</v>
      </c>
      <c r="C7" s="236" t="s">
        <v>351</v>
      </c>
      <c r="D7" s="237"/>
      <c r="E7" s="237"/>
      <c r="G7" s="133"/>
      <c r="H7" s="133"/>
      <c r="I7" s="133"/>
      <c r="J7" s="133"/>
      <c r="K7" s="133"/>
      <c r="L7" s="133"/>
      <c r="M7" s="133"/>
      <c r="N7" s="133"/>
      <c r="O7" s="133"/>
      <c r="P7" s="133"/>
      <c r="Q7" s="133"/>
      <c r="R7" s="133"/>
      <c r="S7" s="133"/>
      <c r="T7" s="133"/>
      <c r="U7" s="15"/>
      <c r="V7" s="15"/>
      <c r="W7" s="15"/>
      <c r="X7" s="15"/>
    </row>
    <row r="8" spans="1:32" ht="20.399999999999999" customHeight="1" thickTop="1" x14ac:dyDescent="0.3">
      <c r="A8" s="225" t="s">
        <v>394</v>
      </c>
      <c r="B8" s="224">
        <v>3</v>
      </c>
      <c r="C8" s="226" t="s">
        <v>397</v>
      </c>
      <c r="D8" s="227"/>
      <c r="E8" s="227"/>
      <c r="G8" s="229" t="s">
        <v>383</v>
      </c>
      <c r="H8" s="132">
        <v>1</v>
      </c>
      <c r="I8" s="132">
        <v>1</v>
      </c>
      <c r="J8" s="132">
        <v>7</v>
      </c>
      <c r="K8" s="229" t="s">
        <v>384</v>
      </c>
      <c r="L8" s="132"/>
      <c r="M8" s="132"/>
      <c r="N8" s="132"/>
      <c r="O8" s="132"/>
      <c r="P8" s="132"/>
      <c r="Q8" s="132"/>
      <c r="R8" s="132"/>
      <c r="S8" s="132"/>
      <c r="T8" s="132"/>
      <c r="U8" s="15"/>
      <c r="V8" s="15"/>
      <c r="W8" s="15"/>
      <c r="X8" s="15"/>
    </row>
    <row r="9" spans="1:32" ht="20.399999999999999" customHeight="1" thickBot="1" x14ac:dyDescent="0.35">
      <c r="A9" s="223"/>
      <c r="B9" s="223"/>
      <c r="C9" s="228"/>
      <c r="D9" s="228"/>
      <c r="E9" s="228"/>
      <c r="G9" s="133"/>
      <c r="H9" s="133"/>
      <c r="I9" s="133"/>
      <c r="J9" s="133"/>
      <c r="K9" s="133"/>
      <c r="L9" s="133"/>
      <c r="M9" s="133"/>
      <c r="N9" s="133"/>
      <c r="O9" s="133"/>
      <c r="P9" s="133"/>
      <c r="Q9" s="133"/>
      <c r="R9" s="133"/>
      <c r="S9" s="133"/>
      <c r="T9" s="133"/>
      <c r="U9" s="15"/>
      <c r="V9" s="15"/>
      <c r="W9" s="15"/>
      <c r="X9" s="15"/>
    </row>
    <row r="10" spans="1:32" ht="20.399999999999999" customHeight="1" thickTop="1" x14ac:dyDescent="0.3">
      <c r="A10" s="225" t="s">
        <v>395</v>
      </c>
      <c r="B10" s="224">
        <v>1</v>
      </c>
      <c r="C10" s="226" t="s">
        <v>398</v>
      </c>
      <c r="D10" s="227"/>
      <c r="E10" s="227"/>
      <c r="G10" s="132"/>
      <c r="H10" s="132"/>
      <c r="I10" s="132"/>
      <c r="J10" s="132"/>
      <c r="K10" s="132"/>
      <c r="L10" s="132"/>
      <c r="M10" s="132"/>
      <c r="N10" s="132"/>
      <c r="O10" s="132"/>
      <c r="P10" s="132"/>
      <c r="Q10" s="132"/>
      <c r="R10" s="132"/>
      <c r="S10" s="132"/>
      <c r="T10" s="132"/>
      <c r="U10" s="15"/>
      <c r="V10" s="15"/>
      <c r="W10" s="15"/>
      <c r="X10" s="15"/>
    </row>
    <row r="11" spans="1:32" ht="20.399999999999999" customHeight="1" thickBot="1" x14ac:dyDescent="0.35">
      <c r="A11" s="223"/>
      <c r="B11" s="223"/>
      <c r="C11" s="228"/>
      <c r="D11" s="228"/>
      <c r="E11" s="228"/>
      <c r="G11" s="133"/>
      <c r="H11" s="133"/>
      <c r="I11" s="133"/>
      <c r="J11" s="133"/>
      <c r="K11" s="133"/>
      <c r="L11" s="133"/>
      <c r="M11" s="133"/>
      <c r="N11" s="133"/>
      <c r="O11" s="133"/>
      <c r="P11" s="133"/>
      <c r="Q11" s="133"/>
      <c r="R11" s="133"/>
      <c r="S11" s="133"/>
      <c r="T11" s="133"/>
      <c r="U11" s="15"/>
      <c r="V11" s="15"/>
      <c r="W11" s="15"/>
      <c r="X11" s="15"/>
    </row>
    <row r="12" spans="1:32" ht="20.399999999999999" customHeight="1" thickTop="1" x14ac:dyDescent="0.3">
      <c r="A12" s="225" t="s">
        <v>396</v>
      </c>
      <c r="B12" s="224">
        <v>0.5</v>
      </c>
      <c r="C12" s="226" t="s">
        <v>399</v>
      </c>
      <c r="D12" s="227"/>
      <c r="E12" s="227"/>
      <c r="G12" s="132"/>
      <c r="H12" s="132"/>
      <c r="I12" s="132"/>
      <c r="J12" s="132"/>
      <c r="K12" s="132"/>
      <c r="L12" s="132"/>
      <c r="M12" s="132"/>
      <c r="N12" s="132"/>
      <c r="O12" s="132"/>
      <c r="P12" s="132"/>
      <c r="Q12" s="132"/>
      <c r="R12" s="132"/>
      <c r="S12" s="132"/>
      <c r="T12" s="132"/>
      <c r="U12" s="15"/>
      <c r="V12" s="15"/>
      <c r="W12" s="15"/>
      <c r="X12" s="15"/>
    </row>
    <row r="13" spans="1:32" ht="20.399999999999999" customHeight="1" thickBot="1" x14ac:dyDescent="0.35">
      <c r="A13" s="223"/>
      <c r="B13" s="223"/>
      <c r="C13" s="228"/>
      <c r="D13" s="228"/>
      <c r="E13" s="228"/>
      <c r="G13" s="133"/>
      <c r="H13" s="133"/>
      <c r="I13" s="133"/>
      <c r="J13" s="133"/>
      <c r="K13" s="133"/>
      <c r="L13" s="133"/>
      <c r="M13" s="133"/>
      <c r="N13" s="133"/>
      <c r="O13" s="133"/>
      <c r="P13" s="133"/>
      <c r="Q13" s="133"/>
      <c r="R13" s="133"/>
      <c r="S13" s="133"/>
      <c r="T13" s="133"/>
      <c r="U13" s="15"/>
      <c r="V13" s="15"/>
      <c r="W13" s="15"/>
      <c r="X13" s="15"/>
    </row>
    <row r="14" spans="1:32" ht="20.399999999999999" customHeight="1" thickTop="1" x14ac:dyDescent="0.3">
      <c r="A14" s="224"/>
      <c r="B14" s="224"/>
      <c r="C14" s="222"/>
      <c r="D14" s="222"/>
      <c r="E14" s="222"/>
      <c r="G14" s="132"/>
      <c r="H14" s="132"/>
      <c r="I14" s="132"/>
      <c r="J14" s="132"/>
      <c r="K14" s="132"/>
      <c r="L14" s="132"/>
      <c r="M14" s="132"/>
      <c r="N14" s="132"/>
      <c r="O14" s="132"/>
      <c r="P14" s="132"/>
      <c r="Q14" s="132"/>
      <c r="R14" s="132"/>
      <c r="S14" s="132"/>
      <c r="T14" s="132"/>
      <c r="U14" s="15"/>
      <c r="V14" s="15"/>
      <c r="W14" s="15"/>
      <c r="X14" s="15"/>
    </row>
    <row r="15" spans="1:32" ht="20.399999999999999" customHeight="1" thickBot="1" x14ac:dyDescent="0.35">
      <c r="A15" s="223"/>
      <c r="B15" s="223"/>
      <c r="C15" s="223"/>
      <c r="D15" s="223"/>
      <c r="E15" s="22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5"/>
      <c r="V15" s="15"/>
      <c r="W15" s="15"/>
      <c r="X15" s="15"/>
    </row>
    <row r="16" spans="1:32" ht="20.399999999999999" customHeight="1" thickTop="1" x14ac:dyDescent="0.3">
      <c r="A16" s="224"/>
      <c r="B16" s="224"/>
      <c r="C16" s="222"/>
      <c r="D16" s="222"/>
      <c r="E16" s="222"/>
      <c r="G16" s="132"/>
      <c r="H16" s="132"/>
      <c r="I16" s="132"/>
      <c r="J16" s="132"/>
      <c r="K16" s="132"/>
      <c r="L16" s="132"/>
      <c r="M16" s="132"/>
      <c r="N16" s="132"/>
      <c r="O16" s="132"/>
      <c r="P16" s="132"/>
      <c r="Q16" s="132"/>
      <c r="R16" s="132"/>
      <c r="S16" s="132"/>
      <c r="T16" s="132"/>
      <c r="U16" s="15"/>
      <c r="V16" s="15"/>
      <c r="W16" s="15"/>
      <c r="X16" s="15"/>
    </row>
    <row r="17" spans="1:24" ht="20.399999999999999" customHeight="1" thickBot="1" x14ac:dyDescent="0.35">
      <c r="A17" s="223"/>
      <c r="B17" s="223"/>
      <c r="C17" s="223"/>
      <c r="D17" s="223"/>
      <c r="E17" s="223"/>
      <c r="G17" s="133"/>
      <c r="H17" s="133"/>
      <c r="I17" s="133"/>
      <c r="J17" s="133"/>
      <c r="K17" s="133"/>
      <c r="L17" s="133"/>
      <c r="M17" s="133"/>
      <c r="N17" s="133"/>
      <c r="O17" s="133"/>
      <c r="P17" s="133"/>
      <c r="Q17" s="133"/>
      <c r="R17" s="133"/>
      <c r="S17" s="133"/>
      <c r="T17" s="133"/>
      <c r="U17" s="15"/>
      <c r="V17" s="15"/>
      <c r="W17" s="15"/>
      <c r="X17" s="15"/>
    </row>
    <row r="18" spans="1:24" ht="20.399999999999999" customHeight="1" thickTop="1" x14ac:dyDescent="0.3">
      <c r="A18" s="224"/>
      <c r="B18" s="224"/>
      <c r="C18" s="222"/>
      <c r="D18" s="222"/>
      <c r="E18" s="222"/>
      <c r="G18" s="132"/>
      <c r="H18" s="132"/>
      <c r="I18" s="132"/>
      <c r="J18" s="132"/>
      <c r="K18" s="132"/>
      <c r="L18" s="132"/>
      <c r="M18" s="132"/>
      <c r="N18" s="132"/>
      <c r="O18" s="132"/>
      <c r="P18" s="132"/>
      <c r="Q18" s="132"/>
      <c r="R18" s="132"/>
      <c r="S18" s="132"/>
      <c r="T18" s="132"/>
    </row>
    <row r="19" spans="1:24" ht="20.399999999999999" customHeight="1" thickBot="1" x14ac:dyDescent="0.35">
      <c r="A19" s="223"/>
      <c r="B19" s="223"/>
      <c r="C19" s="223"/>
      <c r="D19" s="223"/>
      <c r="E19" s="223"/>
      <c r="G19" s="133"/>
      <c r="H19" s="133"/>
      <c r="I19" s="133"/>
      <c r="J19" s="133"/>
      <c r="K19" s="133"/>
      <c r="L19" s="133"/>
      <c r="M19" s="133"/>
      <c r="N19" s="133"/>
      <c r="O19" s="133"/>
      <c r="P19" s="133"/>
      <c r="Q19" s="133"/>
      <c r="R19" s="133"/>
      <c r="S19" s="133"/>
      <c r="T19" s="133"/>
    </row>
    <row r="20" spans="1:24" ht="20.399999999999999" customHeight="1" thickTop="1" x14ac:dyDescent="0.3"/>
  </sheetData>
  <protectedRanges>
    <protectedRange sqref="D10:E10 B2:B5 B7:B14" name="角色基础信息区域"/>
  </protectedRanges>
  <mergeCells count="75">
    <mergeCell ref="I18:I19"/>
    <mergeCell ref="J18:J19"/>
    <mergeCell ref="I12:I13"/>
    <mergeCell ref="J12:J13"/>
    <mergeCell ref="I14:I15"/>
    <mergeCell ref="J14:J15"/>
    <mergeCell ref="I16:I17"/>
    <mergeCell ref="J16:J17"/>
    <mergeCell ref="I6:I7"/>
    <mergeCell ref="J6:J7"/>
    <mergeCell ref="I8:I9"/>
    <mergeCell ref="J8:J9"/>
    <mergeCell ref="I10:I11"/>
    <mergeCell ref="J10:J11"/>
    <mergeCell ref="A1:E1"/>
    <mergeCell ref="B2:C2"/>
    <mergeCell ref="B4:E5"/>
    <mergeCell ref="C7:E7"/>
    <mergeCell ref="A6:E6"/>
    <mergeCell ref="A8:A9"/>
    <mergeCell ref="B8:B9"/>
    <mergeCell ref="C8:E9"/>
    <mergeCell ref="A4:A5"/>
    <mergeCell ref="G4:G5"/>
    <mergeCell ref="G6:G7"/>
    <mergeCell ref="K10:O11"/>
    <mergeCell ref="P10:T11"/>
    <mergeCell ref="K6:O7"/>
    <mergeCell ref="P6:T7"/>
    <mergeCell ref="K14:O15"/>
    <mergeCell ref="P14:T15"/>
    <mergeCell ref="K8:O9"/>
    <mergeCell ref="P8:T9"/>
    <mergeCell ref="K3:O3"/>
    <mergeCell ref="P3:T3"/>
    <mergeCell ref="G1:T2"/>
    <mergeCell ref="K4:O5"/>
    <mergeCell ref="P4:T5"/>
    <mergeCell ref="I4:I5"/>
    <mergeCell ref="J4:J5"/>
    <mergeCell ref="G18:G19"/>
    <mergeCell ref="H4:H5"/>
    <mergeCell ref="H6:H7"/>
    <mergeCell ref="H8:H9"/>
    <mergeCell ref="H10:H11"/>
    <mergeCell ref="H12:H13"/>
    <mergeCell ref="H14:H15"/>
    <mergeCell ref="H16:H17"/>
    <mergeCell ref="H18:H19"/>
    <mergeCell ref="G8:G9"/>
    <mergeCell ref="G10:G11"/>
    <mergeCell ref="G12:G13"/>
    <mergeCell ref="G14:G15"/>
    <mergeCell ref="G16:G17"/>
    <mergeCell ref="P16:T17"/>
    <mergeCell ref="K18:O19"/>
    <mergeCell ref="P18:T19"/>
    <mergeCell ref="K12:O13"/>
    <mergeCell ref="P12:T13"/>
    <mergeCell ref="K16:O17"/>
    <mergeCell ref="A10:A11"/>
    <mergeCell ref="B10:B11"/>
    <mergeCell ref="A12:A13"/>
    <mergeCell ref="B12:B13"/>
    <mergeCell ref="C10:E11"/>
    <mergeCell ref="C12:E13"/>
    <mergeCell ref="C14:E15"/>
    <mergeCell ref="C16:E17"/>
    <mergeCell ref="C18:E19"/>
    <mergeCell ref="A18:A19"/>
    <mergeCell ref="B18:B19"/>
    <mergeCell ref="A14:A15"/>
    <mergeCell ref="B14:B15"/>
    <mergeCell ref="A16:A17"/>
    <mergeCell ref="B16:B17"/>
  </mergeCells>
  <phoneticPr fontId="47" type="noConversion"/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4"/>
  <dimension ref="A1:W22"/>
  <sheetViews>
    <sheetView workbookViewId="0">
      <selection activeCell="N19" sqref="N19"/>
    </sheetView>
  </sheetViews>
  <sheetFormatPr defaultColWidth="9" defaultRowHeight="14" x14ac:dyDescent="0.3"/>
  <sheetData>
    <row r="1" spans="1:23" ht="20.399999999999999" customHeight="1" thickTop="1" x14ac:dyDescent="0.3">
      <c r="A1" s="182" t="s">
        <v>326</v>
      </c>
      <c r="B1" s="183"/>
      <c r="C1" s="183"/>
      <c r="D1" s="183"/>
      <c r="E1" s="183"/>
      <c r="F1" s="183"/>
      <c r="G1" s="183"/>
      <c r="H1" s="183"/>
      <c r="I1" s="184"/>
      <c r="K1" s="182" t="s">
        <v>327</v>
      </c>
      <c r="L1" s="183"/>
      <c r="M1" s="183"/>
      <c r="N1" s="183"/>
      <c r="O1" s="183"/>
      <c r="P1" s="183"/>
      <c r="Q1" s="183"/>
      <c r="R1" s="183"/>
      <c r="S1" s="183"/>
      <c r="T1" s="184"/>
    </row>
    <row r="2" spans="1:23" ht="20.399999999999999" customHeight="1" thickBot="1" x14ac:dyDescent="0.35">
      <c r="A2" s="185"/>
      <c r="B2" s="186"/>
      <c r="C2" s="186"/>
      <c r="D2" s="186"/>
      <c r="E2" s="186"/>
      <c r="F2" s="186"/>
      <c r="G2" s="186"/>
      <c r="H2" s="186"/>
      <c r="I2" s="187"/>
      <c r="K2" s="185"/>
      <c r="L2" s="186"/>
      <c r="M2" s="186"/>
      <c r="N2" s="186"/>
      <c r="O2" s="186"/>
      <c r="P2" s="186"/>
      <c r="Q2" s="186"/>
      <c r="R2" s="186"/>
      <c r="S2" s="186"/>
      <c r="T2" s="187"/>
    </row>
    <row r="3" spans="1:23" ht="20.399999999999999" customHeight="1" thickTop="1" thickBot="1" x14ac:dyDescent="0.35">
      <c r="A3" s="1" t="s">
        <v>156</v>
      </c>
      <c r="B3" s="178">
        <v>1</v>
      </c>
      <c r="C3" s="178"/>
      <c r="D3" s="1" t="s">
        <v>157</v>
      </c>
      <c r="E3" s="178" t="s">
        <v>328</v>
      </c>
      <c r="F3" s="178"/>
      <c r="G3" s="1" t="s">
        <v>158</v>
      </c>
      <c r="H3" s="178" t="s">
        <v>329</v>
      </c>
      <c r="I3" s="178"/>
      <c r="K3" s="171" t="s">
        <v>157</v>
      </c>
      <c r="L3" s="171"/>
      <c r="M3" s="1" t="s">
        <v>156</v>
      </c>
      <c r="N3" s="1" t="s">
        <v>186</v>
      </c>
      <c r="O3" s="1" t="s">
        <v>87</v>
      </c>
      <c r="P3" s="1" t="s">
        <v>187</v>
      </c>
      <c r="Q3" s="1" t="s">
        <v>330</v>
      </c>
      <c r="R3" s="1" t="s">
        <v>331</v>
      </c>
      <c r="S3" s="1" t="s">
        <v>332</v>
      </c>
      <c r="T3" s="65" t="s">
        <v>385</v>
      </c>
    </row>
    <row r="4" spans="1:23" ht="20.399999999999999" customHeight="1" thickTop="1" thickBot="1" x14ac:dyDescent="0.35">
      <c r="A4" s="1" t="s">
        <v>115</v>
      </c>
      <c r="B4" s="178">
        <v>20</v>
      </c>
      <c r="C4" s="178"/>
      <c r="D4" s="1" t="s">
        <v>333</v>
      </c>
      <c r="E4" s="2">
        <v>25</v>
      </c>
      <c r="F4" s="2">
        <f>E4+R4</f>
        <v>25</v>
      </c>
      <c r="G4" s="1" t="s">
        <v>162</v>
      </c>
      <c r="H4" s="178" t="s">
        <v>334</v>
      </c>
      <c r="I4" s="178"/>
      <c r="K4" s="178" t="s">
        <v>335</v>
      </c>
      <c r="L4" s="178"/>
      <c r="M4" s="2">
        <v>1</v>
      </c>
      <c r="N4" s="2">
        <v>2</v>
      </c>
      <c r="O4" s="8">
        <v>0.3</v>
      </c>
      <c r="P4" s="2">
        <v>8</v>
      </c>
      <c r="Q4" s="2">
        <v>20</v>
      </c>
      <c r="R4" s="2">
        <v>0</v>
      </c>
      <c r="S4" s="2">
        <v>0</v>
      </c>
      <c r="T4" s="64" t="s">
        <v>386</v>
      </c>
    </row>
    <row r="5" spans="1:23" ht="20.399999999999999" customHeight="1" thickTop="1" thickBot="1" x14ac:dyDescent="0.35">
      <c r="A5" s="1" t="s">
        <v>336</v>
      </c>
      <c r="B5" s="2">
        <v>8</v>
      </c>
      <c r="C5" s="2">
        <f>B5+S4</f>
        <v>8</v>
      </c>
      <c r="D5" s="1" t="s">
        <v>337</v>
      </c>
      <c r="E5" s="209">
        <f>E4/10</f>
        <v>2.5</v>
      </c>
      <c r="F5" s="209"/>
      <c r="G5" s="1" t="s">
        <v>185</v>
      </c>
      <c r="H5" s="178">
        <f>ROUNDDOWN((17/144)*POWER(((F4-Q4)/5-12),2)+3,0)</f>
        <v>17</v>
      </c>
      <c r="I5" s="178"/>
      <c r="K5" s="171" t="s">
        <v>338</v>
      </c>
      <c r="L5" s="171"/>
      <c r="M5" s="158" t="s">
        <v>190</v>
      </c>
      <c r="N5" s="158"/>
      <c r="O5" s="158"/>
      <c r="P5" s="158"/>
      <c r="Q5" s="158"/>
      <c r="R5" s="158"/>
      <c r="S5" s="158"/>
      <c r="T5" s="158"/>
    </row>
    <row r="6" spans="1:23" ht="20.399999999999999" customHeight="1" thickTop="1" thickBot="1" x14ac:dyDescent="0.35">
      <c r="A6" s="171" t="s">
        <v>338</v>
      </c>
      <c r="B6" s="158" t="s">
        <v>190</v>
      </c>
      <c r="C6" s="158"/>
      <c r="D6" s="158"/>
      <c r="E6" s="158"/>
      <c r="F6" s="158"/>
      <c r="G6" s="158"/>
      <c r="H6" s="158"/>
      <c r="I6" s="158"/>
      <c r="K6" s="171"/>
      <c r="L6" s="171"/>
      <c r="M6" s="158"/>
      <c r="N6" s="158"/>
      <c r="O6" s="158"/>
      <c r="P6" s="158"/>
      <c r="Q6" s="158"/>
      <c r="R6" s="158"/>
      <c r="S6" s="158"/>
      <c r="T6" s="158"/>
    </row>
    <row r="7" spans="1:23" ht="20.399999999999999" customHeight="1" thickTop="1" thickBot="1" x14ac:dyDescent="0.35">
      <c r="A7" s="171"/>
      <c r="B7" s="158"/>
      <c r="C7" s="158"/>
      <c r="D7" s="158"/>
      <c r="E7" s="158"/>
      <c r="F7" s="158"/>
      <c r="G7" s="158"/>
      <c r="H7" s="158"/>
      <c r="I7" s="158"/>
      <c r="K7" s="171" t="s">
        <v>339</v>
      </c>
      <c r="L7" s="171"/>
      <c r="M7" s="158" t="s">
        <v>340</v>
      </c>
      <c r="N7" s="158"/>
      <c r="O7" s="158"/>
      <c r="P7" s="158"/>
      <c r="Q7" s="158"/>
      <c r="R7" s="158"/>
      <c r="S7" s="158"/>
      <c r="T7" s="158"/>
    </row>
    <row r="8" spans="1:23" ht="20.399999999999999" customHeight="1" thickTop="1" thickBot="1" x14ac:dyDescent="0.35">
      <c r="A8" s="171" t="s">
        <v>175</v>
      </c>
      <c r="B8" s="158" t="s">
        <v>341</v>
      </c>
      <c r="C8" s="158"/>
      <c r="D8" s="158"/>
      <c r="E8" s="158"/>
      <c r="F8" s="158"/>
      <c r="G8" s="158"/>
      <c r="H8" s="158"/>
      <c r="I8" s="158"/>
      <c r="K8" s="171"/>
      <c r="L8" s="171"/>
      <c r="M8" s="158"/>
      <c r="N8" s="158"/>
      <c r="O8" s="158"/>
      <c r="P8" s="158"/>
      <c r="Q8" s="158"/>
      <c r="R8" s="158"/>
      <c r="S8" s="158"/>
      <c r="T8" s="158"/>
    </row>
    <row r="9" spans="1:23" ht="20.399999999999999" customHeight="1" thickTop="1" thickBot="1" x14ac:dyDescent="0.35">
      <c r="A9" s="171"/>
      <c r="B9" s="158"/>
      <c r="C9" s="158"/>
      <c r="D9" s="158"/>
      <c r="E9" s="158"/>
      <c r="F9" s="158"/>
      <c r="G9" s="158"/>
      <c r="H9" s="158"/>
      <c r="I9" s="158"/>
      <c r="K9" s="171"/>
      <c r="L9" s="171"/>
      <c r="M9" s="158"/>
      <c r="N9" s="158"/>
      <c r="O9" s="158"/>
      <c r="P9" s="158"/>
      <c r="Q9" s="158"/>
      <c r="R9" s="158"/>
      <c r="S9" s="158"/>
      <c r="T9" s="158"/>
    </row>
    <row r="10" spans="1:23" ht="20.399999999999999" customHeight="1" thickTop="1" thickBot="1" x14ac:dyDescent="0.35">
      <c r="A10" s="239" t="s">
        <v>339</v>
      </c>
      <c r="B10" s="161" t="s">
        <v>342</v>
      </c>
      <c r="C10" s="162"/>
      <c r="D10" s="162"/>
      <c r="E10" s="162"/>
      <c r="F10" s="162"/>
      <c r="G10" s="162"/>
      <c r="H10" s="162"/>
      <c r="I10" s="163"/>
      <c r="K10" s="171"/>
      <c r="L10" s="171"/>
      <c r="M10" s="158"/>
      <c r="N10" s="158"/>
      <c r="O10" s="158"/>
      <c r="P10" s="158"/>
      <c r="Q10" s="158"/>
      <c r="R10" s="158"/>
      <c r="S10" s="158"/>
      <c r="T10" s="158"/>
    </row>
    <row r="11" spans="1:23" ht="20.399999999999999" customHeight="1" thickTop="1" thickBot="1" x14ac:dyDescent="0.35">
      <c r="A11" s="173"/>
      <c r="B11" s="164"/>
      <c r="C11" s="145"/>
      <c r="D11" s="145"/>
      <c r="E11" s="145"/>
      <c r="F11" s="145"/>
      <c r="G11" s="145"/>
      <c r="H11" s="145"/>
      <c r="I11" s="165"/>
      <c r="K11" s="124" t="s">
        <v>343</v>
      </c>
      <c r="L11" s="125"/>
      <c r="M11" s="240"/>
      <c r="N11" s="240"/>
      <c r="O11" s="240"/>
      <c r="P11" s="241"/>
      <c r="Q11" s="241"/>
      <c r="R11" s="241"/>
      <c r="S11" s="241"/>
    </row>
    <row r="12" spans="1:23" ht="20.399999999999999" customHeight="1" thickTop="1" thickBot="1" x14ac:dyDescent="0.35">
      <c r="A12" s="173"/>
      <c r="B12" s="164"/>
      <c r="C12" s="145"/>
      <c r="D12" s="145"/>
      <c r="E12" s="145"/>
      <c r="F12" s="145"/>
      <c r="G12" s="145"/>
      <c r="H12" s="145"/>
      <c r="I12" s="165"/>
      <c r="K12" s="112" t="s">
        <v>17</v>
      </c>
      <c r="L12" s="112"/>
      <c r="M12" s="112"/>
      <c r="N12" s="112" t="s">
        <v>18</v>
      </c>
      <c r="O12" s="112"/>
      <c r="P12" s="112"/>
      <c r="Q12" s="112" t="s">
        <v>19</v>
      </c>
      <c r="R12" s="112"/>
      <c r="S12" s="112"/>
    </row>
    <row r="13" spans="1:23" ht="20.399999999999999" customHeight="1" thickTop="1" thickBot="1" x14ac:dyDescent="0.35">
      <c r="A13" s="174"/>
      <c r="B13" s="166"/>
      <c r="C13" s="167"/>
      <c r="D13" s="167"/>
      <c r="E13" s="167"/>
      <c r="F13" s="167"/>
      <c r="G13" s="167"/>
      <c r="H13" s="167"/>
      <c r="I13" s="168"/>
      <c r="K13" s="7">
        <v>8</v>
      </c>
      <c r="L13" s="7" t="s">
        <v>23</v>
      </c>
      <c r="M13" s="7">
        <f>P4</f>
        <v>8</v>
      </c>
      <c r="N13" s="7">
        <v>0</v>
      </c>
      <c r="O13" s="7" t="s">
        <v>23</v>
      </c>
      <c r="P13" s="7">
        <v>0</v>
      </c>
      <c r="Q13" s="7">
        <f>K13+N13</f>
        <v>8</v>
      </c>
      <c r="R13" s="7" t="s">
        <v>23</v>
      </c>
      <c r="S13" s="7">
        <f>M13+P13</f>
        <v>8</v>
      </c>
    </row>
    <row r="14" spans="1:23" ht="20.399999999999999" customHeight="1" thickTop="1" thickBot="1" x14ac:dyDescent="0.35">
      <c r="A14" s="131" t="s">
        <v>344</v>
      </c>
      <c r="B14" s="131"/>
      <c r="C14" s="131"/>
      <c r="D14" s="131"/>
      <c r="E14" s="131"/>
      <c r="F14" s="117"/>
      <c r="G14" s="117"/>
      <c r="H14" s="117"/>
      <c r="I14" s="117"/>
      <c r="W14" s="9"/>
    </row>
    <row r="15" spans="1:23" ht="20.399999999999999" customHeight="1" thickTop="1" thickBot="1" x14ac:dyDescent="0.35">
      <c r="A15" s="112" t="s">
        <v>17</v>
      </c>
      <c r="B15" s="112"/>
      <c r="C15" s="112"/>
      <c r="D15" s="112" t="s">
        <v>18</v>
      </c>
      <c r="E15" s="112"/>
      <c r="F15" s="112"/>
      <c r="G15" s="112" t="s">
        <v>19</v>
      </c>
      <c r="H15" s="112"/>
      <c r="I15" s="112"/>
    </row>
    <row r="16" spans="1:23" ht="20.399999999999999" customHeight="1" thickTop="1" thickBot="1" x14ac:dyDescent="0.35">
      <c r="A16" s="7">
        <v>20</v>
      </c>
      <c r="B16" s="7" t="s">
        <v>23</v>
      </c>
      <c r="C16" s="7">
        <f>B4</f>
        <v>20</v>
      </c>
      <c r="D16" s="7">
        <v>0</v>
      </c>
      <c r="E16" s="7" t="s">
        <v>23</v>
      </c>
      <c r="F16" s="7">
        <v>0</v>
      </c>
      <c r="G16" s="7">
        <f>A16+D16</f>
        <v>20</v>
      </c>
      <c r="H16" s="7" t="s">
        <v>23</v>
      </c>
      <c r="I16" s="7">
        <f>C16+F16</f>
        <v>20</v>
      </c>
    </row>
    <row r="17" spans="1:9" ht="20.399999999999999" customHeight="1" thickTop="1" thickBot="1" x14ac:dyDescent="0.35">
      <c r="A17" s="115" t="s">
        <v>345</v>
      </c>
      <c r="B17" s="116"/>
      <c r="C17" s="116"/>
      <c r="D17" s="116"/>
      <c r="E17" s="116"/>
      <c r="F17" s="117"/>
      <c r="G17" s="117"/>
      <c r="H17" s="117"/>
      <c r="I17" s="117"/>
    </row>
    <row r="18" spans="1:9" ht="20.399999999999999" customHeight="1" thickTop="1" thickBot="1" x14ac:dyDescent="0.35">
      <c r="A18" s="112" t="s">
        <v>346</v>
      </c>
      <c r="B18" s="112"/>
      <c r="C18" s="112"/>
      <c r="D18" s="112" t="s">
        <v>347</v>
      </c>
      <c r="E18" s="112"/>
      <c r="F18" s="112"/>
      <c r="G18" s="112" t="s">
        <v>19</v>
      </c>
      <c r="H18" s="112"/>
      <c r="I18" s="112"/>
    </row>
    <row r="19" spans="1:9" ht="20.399999999999999" customHeight="1" thickTop="1" thickBot="1" x14ac:dyDescent="0.35">
      <c r="A19" s="7">
        <v>6</v>
      </c>
      <c r="B19" s="7" t="s">
        <v>23</v>
      </c>
      <c r="C19" s="7">
        <v>6</v>
      </c>
      <c r="D19" s="7">
        <v>8</v>
      </c>
      <c r="E19" s="7" t="s">
        <v>23</v>
      </c>
      <c r="F19" s="7">
        <f>C5</f>
        <v>8</v>
      </c>
      <c r="G19" s="7">
        <f>A19+D19</f>
        <v>14</v>
      </c>
      <c r="H19" s="7" t="s">
        <v>23</v>
      </c>
      <c r="I19" s="7">
        <f>C19+F19</f>
        <v>14</v>
      </c>
    </row>
    <row r="20" spans="1:9" ht="20.399999999999999" customHeight="1" thickTop="1" x14ac:dyDescent="0.3"/>
    <row r="21" spans="1:9" ht="20.399999999999999" customHeight="1" x14ac:dyDescent="0.3"/>
    <row r="22" spans="1:9" ht="20.399999999999999" customHeight="1" x14ac:dyDescent="0.3"/>
  </sheetData>
  <protectedRanges>
    <protectedRange sqref="K4:N4 J8 W10 Q4:W4" name="防具区域"/>
    <protectedRange sqref="A22:B22 E22:I22" name="防具区域_1"/>
    <protectedRange sqref="T9:V9" name="防具区域_2"/>
    <protectedRange sqref="T15:V15" name="防具区域_4"/>
    <protectedRange sqref="T19:V19" name="防具区域_5"/>
    <protectedRange sqref="I8" name="防具区域_3"/>
    <protectedRange sqref="B3:B6 B8 H3:H5 E3:E5" name="武器区域_1"/>
  </protectedRanges>
  <mergeCells count="36">
    <mergeCell ref="Q12:S12"/>
    <mergeCell ref="B3:C3"/>
    <mergeCell ref="E3:F3"/>
    <mergeCell ref="H3:I3"/>
    <mergeCell ref="K3:L3"/>
    <mergeCell ref="B4:C4"/>
    <mergeCell ref="H4:I4"/>
    <mergeCell ref="K4:L4"/>
    <mergeCell ref="M5:T6"/>
    <mergeCell ref="M7:T10"/>
    <mergeCell ref="A14:E14"/>
    <mergeCell ref="F14:I14"/>
    <mergeCell ref="A15:C15"/>
    <mergeCell ref="D15:F15"/>
    <mergeCell ref="G15:I15"/>
    <mergeCell ref="A17:E17"/>
    <mergeCell ref="F17:I17"/>
    <mergeCell ref="A18:C18"/>
    <mergeCell ref="D18:F18"/>
    <mergeCell ref="G18:I18"/>
    <mergeCell ref="K1:T2"/>
    <mergeCell ref="A6:A7"/>
    <mergeCell ref="A8:A9"/>
    <mergeCell ref="A10:A13"/>
    <mergeCell ref="A1:I2"/>
    <mergeCell ref="K5:L6"/>
    <mergeCell ref="B6:I7"/>
    <mergeCell ref="K7:L10"/>
    <mergeCell ref="B8:I9"/>
    <mergeCell ref="B10:I13"/>
    <mergeCell ref="E5:F5"/>
    <mergeCell ref="H5:I5"/>
    <mergeCell ref="K11:O11"/>
    <mergeCell ref="P11:S11"/>
    <mergeCell ref="K12:M12"/>
    <mergeCell ref="N12:P12"/>
  </mergeCells>
  <phoneticPr fontId="47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/>
  <dimension ref="A1:AM51"/>
  <sheetViews>
    <sheetView tabSelected="1" workbookViewId="0">
      <selection activeCell="L13" sqref="L13"/>
    </sheetView>
  </sheetViews>
  <sheetFormatPr defaultColWidth="9" defaultRowHeight="20.399999999999999" customHeight="1" x14ac:dyDescent="0.3"/>
  <cols>
    <col min="1" max="4" width="9.75" customWidth="1"/>
    <col min="6" max="6" width="10.75" customWidth="1"/>
    <col min="11" max="11" width="12.75" customWidth="1"/>
    <col min="14" max="14" width="8.9140625" customWidth="1"/>
    <col min="17" max="17" width="8.9140625" customWidth="1"/>
    <col min="20" max="20" width="8.9140625" customWidth="1"/>
    <col min="24" max="24" width="8.9140625" customWidth="1"/>
  </cols>
  <sheetData>
    <row r="1" spans="1:39" ht="20.399999999999999" customHeight="1" x14ac:dyDescent="0.4">
      <c r="A1" s="108" t="s">
        <v>0</v>
      </c>
      <c r="B1" s="108"/>
      <c r="C1" s="108"/>
      <c r="D1" s="108"/>
      <c r="F1" s="130" t="s">
        <v>1</v>
      </c>
      <c r="G1" s="130"/>
      <c r="H1" s="130"/>
      <c r="I1" s="130"/>
      <c r="J1" s="130"/>
      <c r="K1" s="130"/>
      <c r="M1" s="131" t="s">
        <v>2</v>
      </c>
      <c r="N1" s="131"/>
      <c r="O1" s="131"/>
      <c r="P1" s="131"/>
      <c r="Q1" s="131"/>
      <c r="R1" s="117"/>
      <c r="S1" s="117"/>
      <c r="T1" s="117"/>
      <c r="U1" s="117"/>
      <c r="V1" s="21"/>
      <c r="X1" s="129"/>
      <c r="Y1" s="127"/>
      <c r="Z1" s="126" t="s">
        <v>3</v>
      </c>
      <c r="AA1" s="127"/>
      <c r="AB1" s="126" t="s">
        <v>4</v>
      </c>
      <c r="AC1" s="127"/>
      <c r="AD1" s="126" t="s">
        <v>5</v>
      </c>
      <c r="AE1" s="127"/>
      <c r="AF1" s="126" t="s">
        <v>6</v>
      </c>
      <c r="AG1" s="127"/>
      <c r="AH1" s="126" t="s">
        <v>7</v>
      </c>
      <c r="AI1" s="127"/>
      <c r="AJ1" s="126" t="s">
        <v>8</v>
      </c>
      <c r="AK1" s="128"/>
    </row>
    <row r="2" spans="1:39" ht="20.399999999999999" customHeight="1" x14ac:dyDescent="0.3">
      <c r="A2" s="14" t="s">
        <v>9</v>
      </c>
      <c r="B2" s="111" t="s">
        <v>10</v>
      </c>
      <c r="C2" s="111"/>
      <c r="D2" s="111"/>
      <c r="F2" s="74" t="s">
        <v>11</v>
      </c>
      <c r="G2" s="29" t="s">
        <v>12</v>
      </c>
      <c r="H2" s="29" t="s">
        <v>13</v>
      </c>
      <c r="I2" s="29" t="s">
        <v>14</v>
      </c>
      <c r="J2" s="29" t="s">
        <v>15</v>
      </c>
      <c r="K2" s="44" t="s">
        <v>16</v>
      </c>
      <c r="M2" s="112" t="s">
        <v>17</v>
      </c>
      <c r="N2" s="112"/>
      <c r="O2" s="112"/>
      <c r="P2" s="112" t="s">
        <v>18</v>
      </c>
      <c r="Q2" s="112"/>
      <c r="R2" s="112"/>
      <c r="S2" s="112" t="s">
        <v>19</v>
      </c>
      <c r="T2" s="112"/>
      <c r="U2" s="112"/>
      <c r="V2" s="59"/>
      <c r="X2" s="129" t="s">
        <v>20</v>
      </c>
      <c r="Y2" s="127"/>
      <c r="Z2" s="126">
        <v>51</v>
      </c>
      <c r="AA2" s="127"/>
      <c r="AB2" s="126">
        <f>SUMIFS(Z11:AA90,AH11:AI90,AH10)</f>
        <v>30</v>
      </c>
      <c r="AC2" s="127"/>
      <c r="AD2" s="126">
        <f>SUMIFS(AB11:AC90,AH11:AI90,AH10)</f>
        <v>2</v>
      </c>
      <c r="AE2" s="127"/>
      <c r="AF2" s="126">
        <f>SUMIFS(AD11:AE90,AH11:AI90,AH10)</f>
        <v>-30</v>
      </c>
      <c r="AG2" s="127"/>
      <c r="AH2" s="126">
        <f>SUMIFS(AF11:AG90,AH11:AI90,AH10)</f>
        <v>0.5</v>
      </c>
      <c r="AI2" s="127"/>
      <c r="AJ2" s="126">
        <v>0</v>
      </c>
      <c r="AK2" s="128"/>
      <c r="AL2" s="114"/>
      <c r="AM2" s="114"/>
    </row>
    <row r="3" spans="1:39" ht="20.399999999999999" customHeight="1" x14ac:dyDescent="0.3">
      <c r="A3" s="14" t="s">
        <v>21</v>
      </c>
      <c r="B3" s="111" t="s">
        <v>22</v>
      </c>
      <c r="C3" s="111"/>
      <c r="D3" s="111"/>
      <c r="F3" s="75"/>
      <c r="G3" s="30">
        <v>50</v>
      </c>
      <c r="H3" s="30">
        <f t="array" aca="1" ref="H3" ca="1">SUM(IF(INDIRECT("武器"&amp;"!S1")=INDIRECT("总表"&amp;"!D29"),INDIRECT("武器"&amp;"!N5")+INDIRECT("武器"&amp;"!N12"),IF(P12=INDIRECT("武器"&amp;"!G3"),INDIRECT("武器"&amp;"!N5"),INDIRECT("武器"&amp;"!N12"))),IF(I17&gt;0,INDIRECT("防具"&amp;"!I4"),0),IF(I18&gt;0,INDIRECT("防具"&amp;"!I8"),0),IF(I19&gt;0,INDIRECT("防具"&amp;"!I12"),0),IF(I20&gt;0,INDIRECT("防具"&amp;"!I16"),0),IF(AND(J21=D29,I22&gt;0),INDIRECT("坐骑"&amp;"!R4"),0))</f>
        <v>0</v>
      </c>
      <c r="I3" s="30"/>
      <c r="J3" s="30"/>
      <c r="K3" s="45">
        <f ca="1">SUM(G3:J3)</f>
        <v>50</v>
      </c>
      <c r="M3" s="7">
        <v>45</v>
      </c>
      <c r="N3" s="7" t="s">
        <v>23</v>
      </c>
      <c r="O3" s="7" cm="1">
        <f t="array" aca="1" ref="O3" ca="1">K7+INDIRECT("经历点数与履历"&amp;"!D3")</f>
        <v>45</v>
      </c>
      <c r="P3" s="7">
        <v>0</v>
      </c>
      <c r="Q3" s="7" t="s">
        <v>23</v>
      </c>
      <c r="R3" s="7">
        <v>0</v>
      </c>
      <c r="S3" s="7">
        <f>M3+P3</f>
        <v>45</v>
      </c>
      <c r="T3" s="7" t="s">
        <v>23</v>
      </c>
      <c r="U3" s="7">
        <f ca="1">O3+R3</f>
        <v>45</v>
      </c>
      <c r="V3" s="5"/>
      <c r="X3" s="118" t="s">
        <v>24</v>
      </c>
      <c r="Y3" s="119"/>
      <c r="Z3" s="120" t="s">
        <v>25</v>
      </c>
      <c r="AA3" s="121"/>
      <c r="AB3" s="121"/>
      <c r="AC3" s="121"/>
      <c r="AD3" s="121"/>
      <c r="AE3" s="122"/>
      <c r="AF3" s="120" t="s">
        <v>26</v>
      </c>
      <c r="AG3" s="121"/>
      <c r="AH3" s="121"/>
      <c r="AI3" s="121"/>
      <c r="AJ3" s="121"/>
      <c r="AK3" s="123"/>
      <c r="AL3" s="114"/>
      <c r="AM3" s="114"/>
    </row>
    <row r="4" spans="1:39" ht="20.399999999999999" customHeight="1" x14ac:dyDescent="0.3">
      <c r="A4" s="14" t="s">
        <v>27</v>
      </c>
      <c r="B4" s="12" t="s">
        <v>28</v>
      </c>
      <c r="C4" s="14" t="s">
        <v>29</v>
      </c>
      <c r="D4" s="12" t="s">
        <v>30</v>
      </c>
      <c r="F4" s="76" t="s">
        <v>31</v>
      </c>
      <c r="G4" s="31" t="s">
        <v>12</v>
      </c>
      <c r="H4" s="31" t="s">
        <v>13</v>
      </c>
      <c r="I4" s="31" t="s">
        <v>14</v>
      </c>
      <c r="J4" s="31" t="s">
        <v>15</v>
      </c>
      <c r="K4" s="46" t="s">
        <v>16</v>
      </c>
      <c r="M4" s="124" t="s">
        <v>32</v>
      </c>
      <c r="N4" s="125"/>
      <c r="O4" s="125"/>
      <c r="P4" s="125"/>
      <c r="Q4" s="125"/>
      <c r="R4" s="117"/>
      <c r="S4" s="117"/>
      <c r="T4" s="117"/>
      <c r="U4" s="117"/>
      <c r="V4" s="21"/>
      <c r="AJ4" s="114"/>
      <c r="AK4" s="114"/>
    </row>
    <row r="5" spans="1:39" ht="20.399999999999999" customHeight="1" x14ac:dyDescent="0.3">
      <c r="A5" s="14" t="s">
        <v>33</v>
      </c>
      <c r="B5" s="12">
        <v>387</v>
      </c>
      <c r="C5" s="14" t="s">
        <v>34</v>
      </c>
      <c r="D5" s="12" t="s">
        <v>35</v>
      </c>
      <c r="F5" s="77"/>
      <c r="G5" s="32">
        <v>50</v>
      </c>
      <c r="H5" s="32">
        <f t="array" aca="1" ref="H5" ca="1">SUM(IF(INDIRECT("武器"&amp;"!S1")=INDIRECT("总表"&amp;"!D29"),INDIRECT("武器"&amp;"!O5")+INDIRECT("武器"&amp;"!O12"),IF(P12=INDIRECT("武器"&amp;"!G3"),INDIRECT("武器"&amp;"!O5"),INDIRECT("武器"&amp;"!O12"))),IF(I17&gt;0,INDIRECT("防具"&amp;"!J4"),0),IF(I18&gt;0,INDIRECT("防具"&amp;"!J8"),0),IF(I19&gt;0,INDIRECT("防具"&amp;"!J12"),0),IF(I20&gt;0,INDIRECT("防具"&amp;"!J16"),0),IF(AND(J21=D29,I22&gt;0),INDIRECT("坐骑"&amp;"!S4"),0))</f>
        <v>0</v>
      </c>
      <c r="I5" s="32"/>
      <c r="J5" s="32"/>
      <c r="K5" s="47">
        <f ca="1">SUM(G5:J5)</f>
        <v>50</v>
      </c>
      <c r="M5" s="112" t="s">
        <v>17</v>
      </c>
      <c r="N5" s="112"/>
      <c r="O5" s="112"/>
      <c r="P5" s="112" t="s">
        <v>18</v>
      </c>
      <c r="Q5" s="112"/>
      <c r="R5" s="112"/>
      <c r="S5" s="112" t="s">
        <v>19</v>
      </c>
      <c r="T5" s="112"/>
      <c r="U5" s="112"/>
      <c r="V5" s="59"/>
      <c r="AJ5" s="114"/>
      <c r="AK5" s="114"/>
    </row>
    <row r="6" spans="1:39" ht="20.399999999999999" customHeight="1" x14ac:dyDescent="0.3">
      <c r="A6" s="14" t="s">
        <v>36</v>
      </c>
      <c r="B6" s="12" t="s">
        <v>37</v>
      </c>
      <c r="C6" s="14" t="s">
        <v>38</v>
      </c>
      <c r="D6" s="12" t="s">
        <v>39</v>
      </c>
      <c r="F6" s="78" t="s">
        <v>40</v>
      </c>
      <c r="G6" s="33" t="s">
        <v>12</v>
      </c>
      <c r="H6" s="33" t="s">
        <v>13</v>
      </c>
      <c r="I6" s="33" t="s">
        <v>14</v>
      </c>
      <c r="J6" s="33" t="s">
        <v>15</v>
      </c>
      <c r="K6" s="48" t="s">
        <v>16</v>
      </c>
      <c r="M6" s="7">
        <v>30</v>
      </c>
      <c r="N6" s="7" t="s">
        <v>23</v>
      </c>
      <c r="O6" s="7">
        <f ca="1">K13</f>
        <v>30</v>
      </c>
      <c r="P6" s="7">
        <v>0</v>
      </c>
      <c r="Q6" s="7" t="s">
        <v>23</v>
      </c>
      <c r="R6" s="7">
        <v>0</v>
      </c>
      <c r="S6" s="7">
        <f>M6+P6</f>
        <v>30</v>
      </c>
      <c r="T6" s="7" t="s">
        <v>23</v>
      </c>
      <c r="U6" s="7">
        <f ca="1">O6+R6</f>
        <v>30</v>
      </c>
      <c r="V6" s="5"/>
      <c r="AJ6" s="114"/>
      <c r="AK6" s="114"/>
    </row>
    <row r="7" spans="1:39" ht="20.399999999999999" customHeight="1" x14ac:dyDescent="0.3">
      <c r="A7" s="14" t="s">
        <v>41</v>
      </c>
      <c r="B7" s="111" t="s">
        <v>42</v>
      </c>
      <c r="C7" s="111"/>
      <c r="D7" s="111"/>
      <c r="F7" s="79"/>
      <c r="G7" s="34">
        <v>40</v>
      </c>
      <c r="H7" s="34">
        <f t="array" aca="1" ref="H7" ca="1">SUM(IF(INDIRECT("武器"&amp;"!S1")=INDIRECT("总表"&amp;"!D29"),INDIRECT("武器"&amp;"!P5")+INDIRECT("武器"&amp;"!P12"),IF(P12=INDIRECT("武器"&amp;"!G3"),INDIRECT("武器"&amp;"!P5"),INDIRECT("武器"&amp;"!P12"))),IF(I17&gt;0,INDIRECT("防具"&amp;"!K4"),0),IF(I18&gt;0,INDIRECT("防具"&amp;"!K8"),0),IF(I19&gt;0,INDIRECT("防具"&amp;"!K12"),0),IF(I20&gt;0,INDIRECT("防具"&amp;"!K16"),0),IF(AND(J21=D29,I22&gt;0),INDIRECT("坐骑"&amp;"!T4"),0))</f>
        <v>0</v>
      </c>
      <c r="I7" s="34"/>
      <c r="J7" s="34"/>
      <c r="K7" s="49">
        <f ca="1">SUM(G7:J7)</f>
        <v>40</v>
      </c>
      <c r="M7" s="115" t="s">
        <v>43</v>
      </c>
      <c r="N7" s="116"/>
      <c r="O7" s="116"/>
      <c r="P7" s="116"/>
      <c r="Q7" s="116"/>
      <c r="R7" s="117"/>
      <c r="S7" s="117"/>
      <c r="T7" s="117"/>
      <c r="U7" s="117"/>
      <c r="V7" s="21"/>
      <c r="AJ7" s="114"/>
      <c r="AK7" s="114"/>
    </row>
    <row r="8" spans="1:39" ht="20.399999999999999" customHeight="1" x14ac:dyDescent="0.3">
      <c r="A8" s="14" t="s">
        <v>44</v>
      </c>
      <c r="B8" s="111" t="s">
        <v>45</v>
      </c>
      <c r="C8" s="111"/>
      <c r="D8" s="111"/>
      <c r="F8" s="80" t="s">
        <v>46</v>
      </c>
      <c r="G8" s="35" t="s">
        <v>12</v>
      </c>
      <c r="H8" s="35" t="s">
        <v>13</v>
      </c>
      <c r="I8" s="35" t="s">
        <v>14</v>
      </c>
      <c r="J8" s="35" t="s">
        <v>15</v>
      </c>
      <c r="K8" s="50" t="s">
        <v>16</v>
      </c>
      <c r="M8" s="112" t="s">
        <v>17</v>
      </c>
      <c r="N8" s="112"/>
      <c r="O8" s="112"/>
      <c r="P8" s="112" t="s">
        <v>47</v>
      </c>
      <c r="Q8" s="112"/>
      <c r="R8" s="112"/>
      <c r="S8" s="112" t="s">
        <v>19</v>
      </c>
      <c r="T8" s="112"/>
      <c r="U8" s="112"/>
      <c r="V8" s="59"/>
      <c r="X8" s="96" t="s">
        <v>48</v>
      </c>
      <c r="Y8" s="113"/>
      <c r="Z8" s="113"/>
      <c r="AA8" s="113"/>
      <c r="AB8" s="113"/>
      <c r="AC8" s="113"/>
      <c r="AD8" s="113"/>
      <c r="AE8" s="113"/>
      <c r="AF8" s="113"/>
      <c r="AG8" s="113"/>
      <c r="AH8" s="113"/>
      <c r="AI8" s="99"/>
    </row>
    <row r="9" spans="1:39" ht="20.399999999999999" customHeight="1" x14ac:dyDescent="0.3">
      <c r="A9" s="68" t="s">
        <v>49</v>
      </c>
      <c r="B9" s="85" t="s">
        <v>361</v>
      </c>
      <c r="C9" s="85"/>
      <c r="D9" s="85"/>
      <c r="F9" s="81"/>
      <c r="G9" s="36">
        <v>30</v>
      </c>
      <c r="H9" s="36">
        <f t="array" aca="1" ref="H9" ca="1">SUM(IF(INDIRECT("武器"&amp;"!S1")=INDIRECT("总表"&amp;"!D29"),INDIRECT("武器"&amp;"!Q5")+INDIRECT("武器"&amp;"!Q12"),IF(P12=INDIRECT("武器"&amp;"!G3"),INDIRECT("武器"&amp;"!Q5"),INDIRECT("武器"&amp;"!Q12"))),IF(I17&gt;0,INDIRECT("防具"&amp;"!L4"),0),IF(I18&gt;0,INDIRECT("防具"&amp;"!L8"),0),IF(I19&gt;0,INDIRECT("防具"&amp;"!L12"),0),IF(I20&gt;0,INDIRECT("防具"&amp;"!L16"),0),IF(AND(J21=D29,I22&gt;0),INDIRECT("坐骑"&amp;"!U4"),0))</f>
        <v>0</v>
      </c>
      <c r="I9" s="36"/>
      <c r="J9" s="36"/>
      <c r="K9" s="51">
        <f ca="1">SUM(G9:J9)</f>
        <v>30</v>
      </c>
      <c r="M9" s="7">
        <v>6</v>
      </c>
      <c r="N9" s="7" t="s">
        <v>23</v>
      </c>
      <c r="O9" s="7">
        <v>6</v>
      </c>
      <c r="P9" s="7">
        <v>5</v>
      </c>
      <c r="Q9" s="7" t="s">
        <v>23</v>
      </c>
      <c r="R9" s="7">
        <f ca="1">INT(K5/10)</f>
        <v>5</v>
      </c>
      <c r="S9" s="7">
        <f>M9+P9</f>
        <v>11</v>
      </c>
      <c r="T9" s="7" t="s">
        <v>23</v>
      </c>
      <c r="U9" s="7">
        <f ca="1">O9+R9</f>
        <v>11</v>
      </c>
      <c r="V9" s="5"/>
      <c r="X9" s="96"/>
      <c r="Y9" s="97"/>
      <c r="Z9" s="98" t="s">
        <v>50</v>
      </c>
      <c r="AA9" s="97"/>
      <c r="AB9" s="98" t="s">
        <v>51</v>
      </c>
      <c r="AC9" s="97"/>
      <c r="AD9" s="98" t="s">
        <v>52</v>
      </c>
      <c r="AE9" s="97"/>
      <c r="AF9" s="98" t="s">
        <v>53</v>
      </c>
      <c r="AG9" s="97"/>
      <c r="AH9" s="98" t="s">
        <v>54</v>
      </c>
      <c r="AI9" s="99"/>
    </row>
    <row r="10" spans="1:39" ht="20.399999999999999" customHeight="1" x14ac:dyDescent="0.3">
      <c r="A10" s="69"/>
      <c r="B10" s="86"/>
      <c r="C10" s="86"/>
      <c r="D10" s="86"/>
      <c r="F10" s="82" t="s">
        <v>55</v>
      </c>
      <c r="G10" s="37" t="s">
        <v>12</v>
      </c>
      <c r="H10" s="37" t="s">
        <v>13</v>
      </c>
      <c r="I10" s="37" t="s">
        <v>14</v>
      </c>
      <c r="J10" s="37" t="s">
        <v>15</v>
      </c>
      <c r="K10" s="52" t="s">
        <v>16</v>
      </c>
      <c r="X10" s="96" t="s">
        <v>56</v>
      </c>
      <c r="Y10" s="97"/>
      <c r="Z10" s="98">
        <v>0</v>
      </c>
      <c r="AA10" s="97"/>
      <c r="AB10" s="98">
        <v>0</v>
      </c>
      <c r="AC10" s="97"/>
      <c r="AD10" s="98">
        <v>0</v>
      </c>
      <c r="AE10" s="97"/>
      <c r="AF10" s="98">
        <v>0</v>
      </c>
      <c r="AG10" s="97"/>
      <c r="AH10" s="98" t="s">
        <v>57</v>
      </c>
      <c r="AI10" s="99"/>
    </row>
    <row r="11" spans="1:39" ht="20.399999999999999" customHeight="1" x14ac:dyDescent="0.4">
      <c r="A11" s="69"/>
      <c r="B11" s="86"/>
      <c r="C11" s="86"/>
      <c r="D11" s="86"/>
      <c r="F11" s="83"/>
      <c r="G11" s="38">
        <v>40</v>
      </c>
      <c r="H11" s="38">
        <f t="array" aca="1" ref="H11" ca="1">SUM(IF(INDIRECT("武器"&amp;"!S1")=INDIRECT("总表"&amp;"!D29"),INDIRECT("武器"&amp;"!R5")+INDIRECT("武器"&amp;"!R12"),IF(P12=INDIRECT("武器"&amp;"!G3"),INDIRECT("武器"&amp;"!R5"),INDIRECT("武器"&amp;"!R12"))),IF(I17&gt;0,INDIRECT("防具"&amp;"!M4"),0),IF(I18&gt;0,INDIRECT("防具"&amp;"!M8"),0),IF(I19&gt;0,INDIRECT("防具"&amp;"!M12"),0),IF(I20&gt;0,INDIRECT("防具"&amp;"!M16"),0),IF(AND(J21=D29,I22&gt;0),INDIRECT("坐骑"&amp;"!V4"),0))</f>
        <v>0</v>
      </c>
      <c r="I11" s="38"/>
      <c r="J11" s="38"/>
      <c r="K11" s="53">
        <f ca="1">SUM(G11:J11)</f>
        <v>40</v>
      </c>
      <c r="M11" s="110" t="s">
        <v>58</v>
      </c>
      <c r="N11" s="110"/>
      <c r="O11" s="110"/>
      <c r="P11" s="110"/>
      <c r="Q11" s="110"/>
      <c r="R11" s="110"/>
      <c r="S11" s="110"/>
      <c r="T11" s="110"/>
      <c r="U11" s="110"/>
      <c r="V11" s="28"/>
      <c r="W11" s="100" t="s">
        <v>59</v>
      </c>
      <c r="X11" s="96" t="s">
        <v>60</v>
      </c>
      <c r="Y11" s="97"/>
      <c r="Z11" s="98"/>
      <c r="AA11" s="97"/>
      <c r="AB11" s="98"/>
      <c r="AC11" s="97"/>
      <c r="AD11" s="98"/>
      <c r="AE11" s="97"/>
      <c r="AF11" s="98"/>
      <c r="AG11" s="97"/>
      <c r="AH11" s="98"/>
      <c r="AI11" s="99"/>
    </row>
    <row r="12" spans="1:39" ht="20.399999999999999" customHeight="1" x14ac:dyDescent="0.3">
      <c r="A12" s="70"/>
      <c r="B12" s="87"/>
      <c r="C12" s="87"/>
      <c r="D12" s="87"/>
      <c r="F12" s="84" t="s">
        <v>61</v>
      </c>
      <c r="G12" s="40" t="s">
        <v>12</v>
      </c>
      <c r="H12" s="40" t="s">
        <v>13</v>
      </c>
      <c r="I12" s="40" t="s">
        <v>14</v>
      </c>
      <c r="J12" s="40" t="s">
        <v>15</v>
      </c>
      <c r="K12" s="54" t="s">
        <v>16</v>
      </c>
      <c r="M12" s="104" t="s">
        <v>62</v>
      </c>
      <c r="N12" s="104"/>
      <c r="O12" s="104"/>
      <c r="P12" s="105" t="s">
        <v>63</v>
      </c>
      <c r="Q12" s="105"/>
      <c r="R12" s="105"/>
      <c r="S12" s="104" t="s">
        <v>64</v>
      </c>
      <c r="T12" s="104"/>
      <c r="U12" s="56">
        <f t="array" aca="1" ref="U12" ca="1">IF(P12=INDIRECT("武器"&amp;"!G3"),INDIRECT("武器"&amp;"!G5"),INDIRECT("武器"&amp;"!G12"))</f>
        <v>8</v>
      </c>
      <c r="V12" s="60"/>
      <c r="W12" s="101"/>
      <c r="X12" s="96" t="s">
        <v>65</v>
      </c>
      <c r="Y12" s="97"/>
      <c r="Z12" s="98"/>
      <c r="AA12" s="97"/>
      <c r="AB12" s="98"/>
      <c r="AC12" s="97"/>
      <c r="AD12" s="98"/>
      <c r="AE12" s="97"/>
      <c r="AF12" s="98"/>
      <c r="AG12" s="97"/>
      <c r="AH12" s="98"/>
      <c r="AI12" s="99"/>
    </row>
    <row r="13" spans="1:39" ht="20.399999999999999" customHeight="1" x14ac:dyDescent="0.4">
      <c r="A13" s="108" t="s">
        <v>66</v>
      </c>
      <c r="B13" s="108"/>
      <c r="C13" s="108"/>
      <c r="D13" s="108"/>
      <c r="F13" s="84"/>
      <c r="G13" s="40">
        <v>30</v>
      </c>
      <c r="H13" s="40">
        <f t="array" aca="1" ref="H13" ca="1">SUM(IF(INDIRECT("武器"&amp;"!S1")=INDIRECT("总表"&amp;"!D29"),INDIRECT("武器"&amp;"!S5")+INDIRECT("武器"&amp;"!S12"),IF(P12=INDIRECT("武器"&amp;"!G3"),INDIRECT("武器"&amp;"!S5"),INDIRECT("武器"&amp;"!S12"))),IF(I17&gt;0,INDIRECT("防具"&amp;"!N4"),0),IF(I18&gt;0,INDIRECT("防具"&amp;"!N8"),0),IF(I19&gt;0,INDIRECT("防具"&amp;"!N12"),0),IF(I20&gt;0,INDIRECT("防具"&amp;"!N16"),0),IF(AND(J21=D29,I22&gt;0),INDIRECT("坐骑"&amp;"!W4"),0))</f>
        <v>0</v>
      </c>
      <c r="I13" s="40"/>
      <c r="J13" s="40"/>
      <c r="K13" s="54">
        <f ca="1">SUM(G13:J13)</f>
        <v>30</v>
      </c>
      <c r="M13" s="104" t="s">
        <v>67</v>
      </c>
      <c r="N13" s="104"/>
      <c r="O13" s="104"/>
      <c r="P13" s="104" t="s">
        <v>68</v>
      </c>
      <c r="Q13" s="104"/>
      <c r="R13" s="104"/>
      <c r="S13" s="104" t="s">
        <v>69</v>
      </c>
      <c r="T13" s="104"/>
      <c r="U13" s="104"/>
      <c r="V13" s="10"/>
      <c r="W13" s="101"/>
      <c r="X13" s="96" t="s">
        <v>70</v>
      </c>
      <c r="Y13" s="97"/>
      <c r="Z13" s="98">
        <v>15</v>
      </c>
      <c r="AA13" s="97"/>
      <c r="AB13" s="98">
        <v>1</v>
      </c>
      <c r="AC13" s="97"/>
      <c r="AD13" s="98">
        <v>-15</v>
      </c>
      <c r="AE13" s="97"/>
      <c r="AF13" s="98">
        <v>0</v>
      </c>
      <c r="AG13" s="97"/>
      <c r="AH13" s="98" t="s">
        <v>57</v>
      </c>
      <c r="AI13" s="99"/>
    </row>
    <row r="14" spans="1:39" ht="20.399999999999999" customHeight="1" x14ac:dyDescent="0.3">
      <c r="A14" s="14" t="s">
        <v>71</v>
      </c>
      <c r="B14" s="14" t="s">
        <v>72</v>
      </c>
      <c r="C14" s="109" t="s">
        <v>73</v>
      </c>
      <c r="D14" s="109"/>
      <c r="M14" s="55" t="s">
        <v>74</v>
      </c>
      <c r="N14" s="103" t="str">
        <f ca="1">IF(P12=INDIRECT("武器"&amp;"!G3"),INDIRECT("武器"&amp;"!J3"),INDIRECT("武器"&amp;"!J10"))</f>
        <v>长柄刀</v>
      </c>
      <c r="O14" s="103"/>
      <c r="P14" s="55" t="s">
        <v>74</v>
      </c>
      <c r="Q14" s="103" t="s">
        <v>75</v>
      </c>
      <c r="R14" s="103"/>
      <c r="S14" s="55" t="s">
        <v>74</v>
      </c>
      <c r="T14" s="103" t="s">
        <v>76</v>
      </c>
      <c r="U14" s="103"/>
      <c r="V14" s="61"/>
      <c r="W14" s="101"/>
      <c r="X14" s="96" t="s">
        <v>77</v>
      </c>
      <c r="Y14" s="97"/>
      <c r="Z14" s="98"/>
      <c r="AA14" s="97"/>
      <c r="AB14" s="98"/>
      <c r="AC14" s="97"/>
      <c r="AD14" s="98"/>
      <c r="AE14" s="97"/>
      <c r="AF14" s="98"/>
      <c r="AG14" s="97"/>
      <c r="AH14" s="98"/>
      <c r="AI14" s="99"/>
    </row>
    <row r="15" spans="1:39" ht="20.399999999999999" customHeight="1" x14ac:dyDescent="0.4">
      <c r="A15" s="12" t="s">
        <v>78</v>
      </c>
      <c r="B15" s="12" t="s">
        <v>79</v>
      </c>
      <c r="C15" s="107">
        <f ca="1">VLOOKUP(B15,INDIRECT("各种技能"&amp;"!A5:G32"),7,FALSE)</f>
        <v>41</v>
      </c>
      <c r="D15" s="107"/>
      <c r="F15" s="108" t="s">
        <v>80</v>
      </c>
      <c r="G15" s="108"/>
      <c r="H15" s="108"/>
      <c r="I15" s="108"/>
      <c r="J15" s="108"/>
      <c r="K15" s="108"/>
      <c r="M15" s="57" t="s">
        <v>81</v>
      </c>
      <c r="N15" s="67">
        <f ca="1">VLOOKUP(N14,INDIRECT("各种技能"&amp;"!L5:R32"),7,FALSE)</f>
        <v>50.7</v>
      </c>
      <c r="O15" s="67"/>
      <c r="P15" s="57" t="s">
        <v>81</v>
      </c>
      <c r="Q15" s="67">
        <f ca="1">VLOOKUP(Q14,INDIRECT("各种技能"&amp;"!A5:J32"),7,FALSE)</f>
        <v>50.7</v>
      </c>
      <c r="R15" s="67"/>
      <c r="S15" s="57" t="s">
        <v>81</v>
      </c>
      <c r="T15" s="67">
        <f ca="1">VLOOKUP(T14,INDIRECT("各种技能"&amp;"!A5:J32"),7,FALSE)</f>
        <v>50.7</v>
      </c>
      <c r="U15" s="67"/>
      <c r="V15" s="62"/>
      <c r="W15" s="101"/>
      <c r="X15" s="96" t="s">
        <v>82</v>
      </c>
      <c r="Y15" s="97"/>
      <c r="Z15" s="98"/>
      <c r="AA15" s="97"/>
      <c r="AB15" s="98"/>
      <c r="AC15" s="97"/>
      <c r="AD15" s="98"/>
      <c r="AE15" s="97"/>
      <c r="AF15" s="98"/>
      <c r="AG15" s="97"/>
      <c r="AH15" s="98"/>
      <c r="AI15" s="99"/>
    </row>
    <row r="16" spans="1:39" ht="20.399999999999999" customHeight="1" x14ac:dyDescent="0.3">
      <c r="A16" s="12" t="s">
        <v>83</v>
      </c>
      <c r="B16" s="12" t="s">
        <v>84</v>
      </c>
      <c r="C16" s="107">
        <f ca="1">VLOOKUP(B16,INDIRECT("各种技能"&amp;"!L5:R32"),7,FALSE)</f>
        <v>50.7</v>
      </c>
      <c r="D16" s="107"/>
      <c r="F16" s="41" t="s">
        <v>85</v>
      </c>
      <c r="G16" s="41" t="s">
        <v>86</v>
      </c>
      <c r="H16" s="41" t="s">
        <v>87</v>
      </c>
      <c r="I16" s="41" t="s">
        <v>88</v>
      </c>
      <c r="J16" s="41" t="s">
        <v>23</v>
      </c>
      <c r="K16" s="41" t="s">
        <v>89</v>
      </c>
      <c r="M16" s="58" t="s">
        <v>90</v>
      </c>
      <c r="N16" s="103"/>
      <c r="O16" s="103"/>
      <c r="P16" s="58" t="s">
        <v>90</v>
      </c>
      <c r="Q16" s="103"/>
      <c r="R16" s="103"/>
      <c r="S16" s="58" t="s">
        <v>90</v>
      </c>
      <c r="T16" s="103"/>
      <c r="U16" s="103"/>
      <c r="V16" s="61"/>
      <c r="W16" s="101"/>
      <c r="X16" s="96" t="s">
        <v>91</v>
      </c>
      <c r="Y16" s="97"/>
      <c r="Z16" s="98">
        <v>15</v>
      </c>
      <c r="AA16" s="97"/>
      <c r="AB16" s="98">
        <v>1</v>
      </c>
      <c r="AC16" s="97"/>
      <c r="AD16" s="98">
        <v>-15</v>
      </c>
      <c r="AE16" s="97"/>
      <c r="AF16" s="98">
        <v>0.5</v>
      </c>
      <c r="AG16" s="97"/>
      <c r="AH16" s="98" t="s">
        <v>57</v>
      </c>
      <c r="AI16" s="99"/>
    </row>
    <row r="17" spans="1:35" ht="20.399999999999999" customHeight="1" x14ac:dyDescent="0.3">
      <c r="A17" s="39" t="s">
        <v>92</v>
      </c>
      <c r="B17" s="106" t="s">
        <v>354</v>
      </c>
      <c r="C17" s="106"/>
      <c r="D17" s="106"/>
      <c r="F17" s="42" t="s">
        <v>93</v>
      </c>
      <c r="G17" s="42">
        <f t="array" aca="1" ref="G17" ca="1">INDIRECT("防具"&amp;"!E4")</f>
        <v>1</v>
      </c>
      <c r="H17" s="43">
        <f t="array" aca="1" ref="H17" ca="1">INDIRECT("防具"&amp;"!F4")</f>
        <v>0.2</v>
      </c>
      <c r="I17" s="42">
        <v>5</v>
      </c>
      <c r="J17" s="41" t="s">
        <v>23</v>
      </c>
      <c r="K17" s="42">
        <f t="array" aca="1" ref="K17" ca="1">INDIRECT("防具"&amp;"!G4")</f>
        <v>5</v>
      </c>
      <c r="M17" s="57" t="s">
        <v>94</v>
      </c>
      <c r="N17" s="67">
        <f t="array" aca="1" ref="N17" ca="1">IF(P12=INDIRECT("武器"&amp;"!G3"),INDIRECT("武器"&amp;"!J5"),INDIRECT("武器"&amp;"!J12"))</f>
        <v>16</v>
      </c>
      <c r="O17" s="67"/>
      <c r="P17" s="57" t="s">
        <v>94</v>
      </c>
      <c r="Q17" s="67">
        <f t="array" aca="1" ref="Q17" ca="1">INDIRECT("防具"&amp;"!U1")</f>
        <v>8</v>
      </c>
      <c r="R17" s="67"/>
      <c r="S17" s="57" t="s">
        <v>94</v>
      </c>
      <c r="T17" s="67">
        <f t="array" aca="1" ref="T17" ca="1">INDIRECT("防具"&amp;"!U1")</f>
        <v>8</v>
      </c>
      <c r="U17" s="67"/>
      <c r="V17" s="62"/>
      <c r="W17" s="101"/>
      <c r="X17" s="96" t="s">
        <v>95</v>
      </c>
      <c r="Y17" s="97"/>
      <c r="Z17" s="98"/>
      <c r="AA17" s="97"/>
      <c r="AB17" s="98"/>
      <c r="AC17" s="97"/>
      <c r="AD17" s="98"/>
      <c r="AE17" s="97"/>
      <c r="AF17" s="98"/>
      <c r="AG17" s="97"/>
      <c r="AH17" s="98"/>
      <c r="AI17" s="99"/>
    </row>
    <row r="18" spans="1:35" ht="20.399999999999999" customHeight="1" x14ac:dyDescent="0.3">
      <c r="A18" s="71" t="s">
        <v>96</v>
      </c>
      <c r="B18" s="88" t="str">
        <f>VLOOKUP(B17,A42:C51,2,FALSE)</f>
        <v>长柄刀、搬运、抵抗、攀爬</v>
      </c>
      <c r="C18" s="88"/>
      <c r="D18" s="88"/>
      <c r="F18" s="42" t="s">
        <v>97</v>
      </c>
      <c r="G18" s="42">
        <f t="array" aca="1" ref="G18" ca="1">INDIRECT("防具"&amp;"!E8")</f>
        <v>2</v>
      </c>
      <c r="H18" s="43">
        <f t="array" aca="1" ref="H18" ca="1">INDIRECT("防具"&amp;"!F8")</f>
        <v>0.3</v>
      </c>
      <c r="I18" s="42">
        <v>8</v>
      </c>
      <c r="J18" s="41" t="s">
        <v>23</v>
      </c>
      <c r="K18" s="42">
        <f t="array" aca="1" ref="K18" ca="1">INDIRECT("防具"&amp;"!G8")</f>
        <v>8</v>
      </c>
      <c r="M18" s="58" t="s">
        <v>90</v>
      </c>
      <c r="N18" s="103"/>
      <c r="O18" s="103"/>
      <c r="P18" s="58" t="s">
        <v>90</v>
      </c>
      <c r="Q18" s="103"/>
      <c r="R18" s="103"/>
      <c r="S18" s="58" t="s">
        <v>90</v>
      </c>
      <c r="T18" s="103"/>
      <c r="U18" s="103"/>
      <c r="V18" s="61"/>
      <c r="W18" s="101"/>
      <c r="X18" s="96" t="s">
        <v>98</v>
      </c>
      <c r="Y18" s="97"/>
      <c r="Z18" s="98"/>
      <c r="AA18" s="97"/>
      <c r="AB18" s="98"/>
      <c r="AC18" s="97"/>
      <c r="AD18" s="98"/>
      <c r="AE18" s="97"/>
      <c r="AF18" s="98"/>
      <c r="AG18" s="97"/>
      <c r="AH18" s="98"/>
      <c r="AI18" s="99"/>
    </row>
    <row r="19" spans="1:35" ht="20.399999999999999" customHeight="1" x14ac:dyDescent="0.3">
      <c r="A19" s="72"/>
      <c r="B19" s="89"/>
      <c r="C19" s="89"/>
      <c r="D19" s="89"/>
      <c r="F19" s="42" t="s">
        <v>99</v>
      </c>
      <c r="G19" s="42">
        <f t="array" aca="1" ref="G19" ca="1">INDIRECT("防具"&amp;"!E12")</f>
        <v>3</v>
      </c>
      <c r="H19" s="43">
        <f t="array" aca="1" ref="H19" ca="1">INDIRECT("防具"&amp;"!F12")</f>
        <v>0.4</v>
      </c>
      <c r="I19" s="42">
        <v>10</v>
      </c>
      <c r="J19" s="41" t="s">
        <v>23</v>
      </c>
      <c r="K19" s="42">
        <f t="array" aca="1" ref="K19" ca="1">INDIRECT("防具"&amp;"!G12")</f>
        <v>10</v>
      </c>
      <c r="M19" s="58" t="s">
        <v>100</v>
      </c>
      <c r="N19" s="67">
        <v>0</v>
      </c>
      <c r="O19" s="67"/>
      <c r="P19" s="58" t="s">
        <v>100</v>
      </c>
      <c r="Q19" s="67">
        <v>0</v>
      </c>
      <c r="R19" s="67"/>
      <c r="S19" s="58" t="s">
        <v>100</v>
      </c>
      <c r="T19" s="67">
        <v>0</v>
      </c>
      <c r="U19" s="67"/>
      <c r="V19" s="62"/>
      <c r="W19" s="102"/>
      <c r="X19" s="96" t="s">
        <v>101</v>
      </c>
      <c r="Y19" s="97"/>
      <c r="Z19" s="98"/>
      <c r="AA19" s="97"/>
      <c r="AB19" s="98"/>
      <c r="AC19" s="97"/>
      <c r="AD19" s="98"/>
      <c r="AE19" s="97"/>
      <c r="AF19" s="98"/>
      <c r="AG19" s="97"/>
      <c r="AH19" s="98"/>
      <c r="AI19" s="99"/>
    </row>
    <row r="20" spans="1:35" ht="20.399999999999999" customHeight="1" x14ac:dyDescent="0.3">
      <c r="A20" s="73"/>
      <c r="B20" s="90"/>
      <c r="C20" s="90"/>
      <c r="D20" s="90"/>
      <c r="F20" s="42" t="s">
        <v>102</v>
      </c>
      <c r="G20" s="42">
        <f t="array" aca="1" ref="G20" ca="1">INDIRECT("防具"&amp;"!E16")</f>
        <v>2</v>
      </c>
      <c r="H20" s="43">
        <f t="array" aca="1" ref="H20" ca="1">INDIRECT("防具"&amp;"!F16")</f>
        <v>0.3</v>
      </c>
      <c r="I20" s="42">
        <v>8</v>
      </c>
      <c r="J20" s="41" t="s">
        <v>23</v>
      </c>
      <c r="K20" s="42">
        <f t="array" aca="1" ref="K20" ca="1">INDIRECT("防具"&amp;"!G16")</f>
        <v>8</v>
      </c>
      <c r="M20" s="58" t="s">
        <v>103</v>
      </c>
      <c r="N20" s="67">
        <f ca="1">IF(N18=0,N17*N19,N19*N18)</f>
        <v>0</v>
      </c>
      <c r="O20" s="67"/>
      <c r="P20" s="58" t="s">
        <v>103</v>
      </c>
      <c r="Q20" s="67">
        <f ca="1">IF(Q18=0,Q17*Q19,Q18*Q19)</f>
        <v>0</v>
      </c>
      <c r="R20" s="67"/>
      <c r="S20" s="58" t="s">
        <v>103</v>
      </c>
      <c r="T20" s="67">
        <f ca="1">IF(T18=0,T17*T19,T18*T19)</f>
        <v>0</v>
      </c>
      <c r="U20" s="67"/>
      <c r="V20" s="62"/>
    </row>
    <row r="21" spans="1:35" ht="20.399999999999999" customHeight="1" x14ac:dyDescent="0.3">
      <c r="A21" s="68" t="s">
        <v>104</v>
      </c>
      <c r="B21" s="91" t="str">
        <f>VLOOKUP(B17,A42:D51,3,FALSE)</f>
        <v>继承武者的职业特性；自带“卧薪尝胆”技能，且此技能对所有武器都生效。</v>
      </c>
      <c r="C21" s="91"/>
      <c r="D21" s="91"/>
      <c r="F21" s="94" t="s">
        <v>105</v>
      </c>
      <c r="G21" s="94"/>
      <c r="H21" s="94"/>
      <c r="I21" s="94"/>
      <c r="J21" s="95" t="s">
        <v>106</v>
      </c>
      <c r="K21" s="95"/>
      <c r="M21" s="58" t="s">
        <v>107</v>
      </c>
      <c r="N21" s="67"/>
      <c r="O21" s="67"/>
      <c r="P21" s="58" t="s">
        <v>107</v>
      </c>
      <c r="Q21" s="67"/>
      <c r="R21" s="67"/>
      <c r="S21" s="58" t="s">
        <v>107</v>
      </c>
      <c r="T21" s="67"/>
      <c r="U21" s="67"/>
      <c r="V21" s="62"/>
    </row>
    <row r="22" spans="1:35" ht="20.399999999999999" customHeight="1" x14ac:dyDescent="0.3">
      <c r="A22" s="69"/>
      <c r="B22" s="92"/>
      <c r="C22" s="92"/>
      <c r="D22" s="92"/>
      <c r="F22" s="42" t="s">
        <v>108</v>
      </c>
      <c r="G22" s="42">
        <f t="array" aca="1" ref="G22" ca="1">INDIRECT("坐骑"&amp;"!N4")</f>
        <v>2</v>
      </c>
      <c r="H22" s="43">
        <f t="array" aca="1" ref="H22" ca="1">INDIRECT("坐骑"&amp;"!O4")</f>
        <v>0.3</v>
      </c>
      <c r="I22" s="42">
        <v>8</v>
      </c>
      <c r="J22" s="42" t="s">
        <v>23</v>
      </c>
      <c r="K22" s="42">
        <f t="array" aca="1" ref="K22" ca="1">INDIRECT("坐骑"&amp;"!S13")</f>
        <v>8</v>
      </c>
      <c r="M22" s="58" t="s">
        <v>109</v>
      </c>
      <c r="N22" s="67">
        <f ca="1">SUM(N20,N21)</f>
        <v>0</v>
      </c>
      <c r="O22" s="67"/>
      <c r="P22" s="58" t="s">
        <v>109</v>
      </c>
      <c r="Q22" s="67">
        <f ca="1">SUM(Q20,Q21)</f>
        <v>0</v>
      </c>
      <c r="R22" s="67"/>
      <c r="S22" s="58" t="s">
        <v>109</v>
      </c>
      <c r="T22" s="67">
        <f ca="1">SUM(T20,T21)</f>
        <v>0</v>
      </c>
      <c r="U22" s="67"/>
      <c r="V22" s="62"/>
    </row>
    <row r="23" spans="1:35" ht="20.399999999999999" customHeight="1" x14ac:dyDescent="0.3">
      <c r="A23" s="70"/>
      <c r="B23" s="93"/>
      <c r="C23" s="93"/>
      <c r="D23" s="93"/>
      <c r="M23" s="58" t="s">
        <v>110</v>
      </c>
      <c r="N23" s="67">
        <f ca="1">IF(IF(N16=0,N15-N22,N16-N22)&lt;$K$3/2,$K$3/2,IF(N16=0,N15-N22,N16-N22))</f>
        <v>50.7</v>
      </c>
      <c r="O23" s="67"/>
      <c r="P23" s="58" t="s">
        <v>110</v>
      </c>
      <c r="Q23" s="67">
        <f ca="1">IF(IF(Q16=0,Q15-Q22,Q16-Q22)&lt;$K$3/2,$K$3/2,IF(Q16=0,Q15-Q22,Q16-Q22))</f>
        <v>50.7</v>
      </c>
      <c r="R23" s="67"/>
      <c r="S23" s="58" t="s">
        <v>110</v>
      </c>
      <c r="T23" s="67">
        <f ca="1">IF(IF(T16=0,T15-T22,T16-T22)&lt;$K$5/2,$K$5/2,IF(T16=0,T15-T22,T16-T22))</f>
        <v>50.7</v>
      </c>
      <c r="U23" s="67"/>
      <c r="V23" s="62"/>
    </row>
    <row r="24" spans="1:35" ht="20.399999999999999" customHeight="1" x14ac:dyDescent="0.3">
      <c r="V24" s="62"/>
    </row>
    <row r="26" spans="1:35" ht="20.399999999999999" customHeight="1" x14ac:dyDescent="0.3">
      <c r="C26">
        <f t="array" aca="1" ref="C26" ca="1">SUM(IF(INDIRECT("武器"&amp;"!S1")=INDIRECT("总表"&amp;"!D29"),INDIRECT("武器"&amp;"!N5+武器!N12"),IF(P12=INDIRECT("武器"&amp;"!G3"),INDIRECT("武器"&amp;"!N5"),INDIRECT("武器"&amp;"!N12"))),IF(I17&gt;0,INDIRECT("防具"&amp;"!I4"),0),IF(I18&gt;0,INDIRECT("防具"&amp;"!I8"),0),IF(I19&gt;0,INDIRECT("防具"&amp;"!I12"),0),IF(I20&gt;0,INDIRECT("防具"&amp;"!I16"),0),IF(AND(J21=D29,I22&gt;0),INDIRECT("坐骑"&amp;"!R4"),0))</f>
        <v>0</v>
      </c>
    </row>
    <row r="29" spans="1:35" ht="20.399999999999999" customHeight="1" x14ac:dyDescent="0.3">
      <c r="A29" t="s">
        <v>11</v>
      </c>
      <c r="B29">
        <f ca="1">K3</f>
        <v>50</v>
      </c>
      <c r="D29" t="s">
        <v>57</v>
      </c>
      <c r="G29" t="s">
        <v>111</v>
      </c>
      <c r="H29" t="s">
        <v>112</v>
      </c>
    </row>
    <row r="30" spans="1:35" ht="20.399999999999999" customHeight="1" x14ac:dyDescent="0.3">
      <c r="A30" t="s">
        <v>55</v>
      </c>
      <c r="B30">
        <f ca="1">K11</f>
        <v>40</v>
      </c>
      <c r="D30" t="s">
        <v>106</v>
      </c>
      <c r="F30" t="s">
        <v>113</v>
      </c>
      <c r="G30">
        <f>S9</f>
        <v>11</v>
      </c>
      <c r="H30">
        <f ca="1">U9</f>
        <v>11</v>
      </c>
    </row>
    <row r="31" spans="1:35" ht="20.399999999999999" customHeight="1" x14ac:dyDescent="0.3">
      <c r="A31" t="s">
        <v>31</v>
      </c>
      <c r="B31">
        <f ca="1">K5</f>
        <v>50</v>
      </c>
      <c r="F31" t="s">
        <v>114</v>
      </c>
      <c r="G31">
        <f>S6</f>
        <v>30</v>
      </c>
      <c r="H31">
        <f ca="1">U6</f>
        <v>30</v>
      </c>
    </row>
    <row r="32" spans="1:35" ht="20.399999999999999" customHeight="1" x14ac:dyDescent="0.3">
      <c r="A32" t="s">
        <v>61</v>
      </c>
      <c r="B32">
        <f ca="1">K13</f>
        <v>30</v>
      </c>
      <c r="F32" t="s">
        <v>115</v>
      </c>
      <c r="G32">
        <f>S3</f>
        <v>45</v>
      </c>
      <c r="H32">
        <f ca="1">U3</f>
        <v>45</v>
      </c>
    </row>
    <row r="33" spans="1:8" ht="20.399999999999999" customHeight="1" x14ac:dyDescent="0.3">
      <c r="A33" t="s">
        <v>40</v>
      </c>
      <c r="B33">
        <f ca="1">K7</f>
        <v>40</v>
      </c>
    </row>
    <row r="34" spans="1:8" ht="20.399999999999999" customHeight="1" x14ac:dyDescent="0.3">
      <c r="A34" t="s">
        <v>46</v>
      </c>
      <c r="B34">
        <f ca="1">K9</f>
        <v>30</v>
      </c>
    </row>
    <row r="35" spans="1:8" ht="20.399999999999999" customHeight="1" x14ac:dyDescent="0.3">
      <c r="G35" t="s">
        <v>111</v>
      </c>
      <c r="H35" t="s">
        <v>112</v>
      </c>
    </row>
    <row r="36" spans="1:8" ht="20.399999999999999" customHeight="1" x14ac:dyDescent="0.3">
      <c r="A36" t="s">
        <v>116</v>
      </c>
      <c r="C36">
        <f>COUNTIF(B18,"*战术*")</f>
        <v>0</v>
      </c>
      <c r="F36" t="s">
        <v>93</v>
      </c>
      <c r="G36">
        <f>I17</f>
        <v>5</v>
      </c>
      <c r="H36">
        <f ca="1">K17</f>
        <v>5</v>
      </c>
    </row>
    <row r="37" spans="1:8" ht="20.399999999999999" customHeight="1" x14ac:dyDescent="0.3">
      <c r="A37" t="s">
        <v>117</v>
      </c>
      <c r="F37" t="s">
        <v>97</v>
      </c>
      <c r="G37">
        <f>I18</f>
        <v>8</v>
      </c>
      <c r="H37">
        <f ca="1">K18</f>
        <v>8</v>
      </c>
    </row>
    <row r="38" spans="1:8" ht="20.399999999999999" customHeight="1" x14ac:dyDescent="0.3">
      <c r="A38" t="s">
        <v>118</v>
      </c>
      <c r="F38" t="s">
        <v>99</v>
      </c>
      <c r="G38">
        <f>I19</f>
        <v>10</v>
      </c>
      <c r="H38">
        <f ca="1">K19</f>
        <v>10</v>
      </c>
    </row>
    <row r="39" spans="1:8" ht="20.399999999999999" customHeight="1" x14ac:dyDescent="0.3">
      <c r="A39" t="s">
        <v>119</v>
      </c>
      <c r="F39" t="s">
        <v>102</v>
      </c>
      <c r="G39">
        <f>I20</f>
        <v>8</v>
      </c>
      <c r="H39">
        <f ca="1">K20</f>
        <v>8</v>
      </c>
    </row>
    <row r="42" spans="1:8" ht="20.399999999999999" customHeight="1" x14ac:dyDescent="0.3">
      <c r="A42" t="str">
        <f>社群与职业!G4</f>
        <v>武者</v>
      </c>
      <c r="B42" t="str">
        <f>社群与职业!K4</f>
        <v>长柄刀、搬运、缴械</v>
      </c>
      <c r="C42" t="str">
        <f>社群与职业!P4</f>
        <v>每行动轮多2次进入子弹时间的机会；每行动轮获得额外2点只可用于敌意行动的行动点。</v>
      </c>
    </row>
    <row r="43" spans="1:8" ht="20.399999999999999" customHeight="1" x14ac:dyDescent="0.3">
      <c r="A43" t="str">
        <f>社群与职业!G6</f>
        <v>武士</v>
      </c>
      <c r="B43" t="str">
        <f>社群与职业!K6</f>
        <v>长柄刀、搬运、抵抗、攀爬</v>
      </c>
      <c r="C43" t="str">
        <f>社群与职业!P6</f>
        <v>继承武者的职业特性；自带“卧薪尝胆”技能，且此技能对所有武器都生效。</v>
      </c>
    </row>
    <row r="44" spans="1:8" ht="20.399999999999999" customHeight="1" x14ac:dyDescent="0.3">
      <c r="A44" t="str">
        <f>社群与职业!G8</f>
        <v>专家</v>
      </c>
      <c r="B44" t="str">
        <f>社群与职业!K8</f>
        <v>锻造</v>
      </c>
      <c r="C44">
        <f>社群与职业!P8</f>
        <v>0</v>
      </c>
    </row>
    <row r="45" spans="1:8" ht="20.399999999999999" customHeight="1" x14ac:dyDescent="0.3">
      <c r="A45">
        <f>社群与职业!G10</f>
        <v>0</v>
      </c>
      <c r="B45">
        <f>社群与职业!K10</f>
        <v>0</v>
      </c>
      <c r="C45">
        <f>社群与职业!P10</f>
        <v>0</v>
      </c>
    </row>
    <row r="46" spans="1:8" ht="20.399999999999999" customHeight="1" x14ac:dyDescent="0.3">
      <c r="A46">
        <f>社群与职业!G12</f>
        <v>0</v>
      </c>
      <c r="B46">
        <f>社群与职业!K12</f>
        <v>0</v>
      </c>
      <c r="C46">
        <f>社群与职业!P12</f>
        <v>0</v>
      </c>
    </row>
    <row r="47" spans="1:8" ht="20.399999999999999" customHeight="1" x14ac:dyDescent="0.3">
      <c r="A47">
        <f>社群与职业!G14</f>
        <v>0</v>
      </c>
      <c r="B47">
        <f>社群与职业!K14</f>
        <v>0</v>
      </c>
      <c r="C47">
        <f>社群与职业!P14</f>
        <v>0</v>
      </c>
    </row>
    <row r="48" spans="1:8" ht="20.399999999999999" customHeight="1" x14ac:dyDescent="0.3">
      <c r="A48">
        <f>社群与职业!G16</f>
        <v>0</v>
      </c>
      <c r="B48">
        <f>社群与职业!K16</f>
        <v>0</v>
      </c>
      <c r="C48">
        <f>社群与职业!P16</f>
        <v>0</v>
      </c>
    </row>
    <row r="49" spans="1:3" ht="20.399999999999999" customHeight="1" x14ac:dyDescent="0.3">
      <c r="A49">
        <f>社群与职业!G18</f>
        <v>0</v>
      </c>
      <c r="B49">
        <f>社群与职业!K18</f>
        <v>0</v>
      </c>
      <c r="C49">
        <f>社群与职业!P18</f>
        <v>0</v>
      </c>
    </row>
    <row r="50" spans="1:3" ht="20.399999999999999" customHeight="1" x14ac:dyDescent="0.3">
      <c r="A50">
        <f>社群与职业!G20</f>
        <v>0</v>
      </c>
      <c r="B50">
        <f>社群与职业!K20</f>
        <v>0</v>
      </c>
      <c r="C50">
        <f>社群与职业!P20</f>
        <v>0</v>
      </c>
    </row>
    <row r="51" spans="1:3" ht="20.399999999999999" customHeight="1" x14ac:dyDescent="0.3">
      <c r="A51">
        <f>社群与职业!G22</f>
        <v>0</v>
      </c>
      <c r="B51">
        <f>社群与职业!K22</f>
        <v>0</v>
      </c>
      <c r="C51">
        <f>社群与职业!P22</f>
        <v>0</v>
      </c>
    </row>
  </sheetData>
  <protectedRanges>
    <protectedRange sqref="M24 P24 S24" name="HP与SP区域"/>
    <protectedRange sqref="M13 P13 R13 M19:M23 P19:P23 S19:S23" name="HP与SP区域_1"/>
    <protectedRange sqref="D4:D6 B2:B9" name="角色基础信息区域_2"/>
    <protectedRange sqref="B15:B16" name="查询区域_1"/>
    <protectedRange sqref="B19:B20 B22:B23" name="查询区域_1_2_1"/>
  </protectedRanges>
  <sortState xmlns:xlrd2="http://schemas.microsoft.com/office/spreadsheetml/2017/richdata2" ref="A29:B34">
    <sortCondition ref="A29:A34"/>
  </sortState>
  <mergeCells count="169">
    <mergeCell ref="AH1:AI1"/>
    <mergeCell ref="AJ1:AK1"/>
    <mergeCell ref="B2:D2"/>
    <mergeCell ref="M2:O2"/>
    <mergeCell ref="P2:R2"/>
    <mergeCell ref="S2:U2"/>
    <mergeCell ref="X2:Y2"/>
    <mergeCell ref="Z2:AA2"/>
    <mergeCell ref="AB2:AC2"/>
    <mergeCell ref="AD2:AE2"/>
    <mergeCell ref="AF2:AG2"/>
    <mergeCell ref="AH2:AI2"/>
    <mergeCell ref="AJ2:AK2"/>
    <mergeCell ref="A1:D1"/>
    <mergeCell ref="F1:K1"/>
    <mergeCell ref="M1:Q1"/>
    <mergeCell ref="R1:U1"/>
    <mergeCell ref="X1:Y1"/>
    <mergeCell ref="Z1:AA1"/>
    <mergeCell ref="AB1:AC1"/>
    <mergeCell ref="AD1:AE1"/>
    <mergeCell ref="AF1:AG1"/>
    <mergeCell ref="AL2:AM2"/>
    <mergeCell ref="B3:D3"/>
    <mergeCell ref="X3:Y3"/>
    <mergeCell ref="Z3:AE3"/>
    <mergeCell ref="AF3:AK3"/>
    <mergeCell ref="AL3:AM3"/>
    <mergeCell ref="M4:Q4"/>
    <mergeCell ref="R4:U4"/>
    <mergeCell ref="AJ4:AK4"/>
    <mergeCell ref="M5:O5"/>
    <mergeCell ref="P5:R5"/>
    <mergeCell ref="S5:U5"/>
    <mergeCell ref="AJ5:AK5"/>
    <mergeCell ref="AJ6:AK6"/>
    <mergeCell ref="B7:D7"/>
    <mergeCell ref="M7:Q7"/>
    <mergeCell ref="R7:U7"/>
    <mergeCell ref="AJ7:AK7"/>
    <mergeCell ref="M11:U11"/>
    <mergeCell ref="X11:Y11"/>
    <mergeCell ref="Z11:AA11"/>
    <mergeCell ref="AB11:AC11"/>
    <mergeCell ref="AD11:AE11"/>
    <mergeCell ref="AF11:AG11"/>
    <mergeCell ref="AH11:AI11"/>
    <mergeCell ref="B8:D8"/>
    <mergeCell ref="M8:O8"/>
    <mergeCell ref="P8:R8"/>
    <mergeCell ref="S8:U8"/>
    <mergeCell ref="X8:AI8"/>
    <mergeCell ref="X9:Y9"/>
    <mergeCell ref="Z9:AA9"/>
    <mergeCell ref="AB9:AC9"/>
    <mergeCell ref="AD9:AE9"/>
    <mergeCell ref="AF9:AG9"/>
    <mergeCell ref="AH9:AI9"/>
    <mergeCell ref="AD12:AE12"/>
    <mergeCell ref="AF12:AG12"/>
    <mergeCell ref="AH12:AI12"/>
    <mergeCell ref="X10:Y10"/>
    <mergeCell ref="Z10:AA10"/>
    <mergeCell ref="AB10:AC10"/>
    <mergeCell ref="AD10:AE10"/>
    <mergeCell ref="AF10:AG10"/>
    <mergeCell ref="AH10:AI10"/>
    <mergeCell ref="A13:D13"/>
    <mergeCell ref="M13:O13"/>
    <mergeCell ref="P13:R13"/>
    <mergeCell ref="S13:U13"/>
    <mergeCell ref="X13:Y13"/>
    <mergeCell ref="Z13:AA13"/>
    <mergeCell ref="AB13:AC13"/>
    <mergeCell ref="AD13:AE13"/>
    <mergeCell ref="AF13:AG13"/>
    <mergeCell ref="C14:D14"/>
    <mergeCell ref="N14:O14"/>
    <mergeCell ref="Q14:R14"/>
    <mergeCell ref="T14:U14"/>
    <mergeCell ref="X14:Y14"/>
    <mergeCell ref="Z14:AA14"/>
    <mergeCell ref="AB14:AC14"/>
    <mergeCell ref="AD14:AE14"/>
    <mergeCell ref="AF14:AG14"/>
    <mergeCell ref="C15:D15"/>
    <mergeCell ref="F15:K15"/>
    <mergeCell ref="N15:O15"/>
    <mergeCell ref="Q15:R15"/>
    <mergeCell ref="T15:U15"/>
    <mergeCell ref="X15:Y15"/>
    <mergeCell ref="Z15:AA15"/>
    <mergeCell ref="AB15:AC15"/>
    <mergeCell ref="AD15:AE15"/>
    <mergeCell ref="C16:D16"/>
    <mergeCell ref="N16:O16"/>
    <mergeCell ref="Q16:R16"/>
    <mergeCell ref="T16:U16"/>
    <mergeCell ref="X16:Y16"/>
    <mergeCell ref="Z16:AA16"/>
    <mergeCell ref="AB16:AC16"/>
    <mergeCell ref="AD16:AE16"/>
    <mergeCell ref="AF16:AG16"/>
    <mergeCell ref="B17:D17"/>
    <mergeCell ref="N17:O17"/>
    <mergeCell ref="Q17:R17"/>
    <mergeCell ref="T17:U17"/>
    <mergeCell ref="X17:Y17"/>
    <mergeCell ref="Z17:AA17"/>
    <mergeCell ref="AB17:AC17"/>
    <mergeCell ref="AD17:AE17"/>
    <mergeCell ref="AF17:AG17"/>
    <mergeCell ref="AF19:AG19"/>
    <mergeCell ref="AH19:AI19"/>
    <mergeCell ref="W11:W19"/>
    <mergeCell ref="AH17:AI17"/>
    <mergeCell ref="N18:O18"/>
    <mergeCell ref="Q18:R18"/>
    <mergeCell ref="T18:U18"/>
    <mergeCell ref="X18:Y18"/>
    <mergeCell ref="Z18:AA18"/>
    <mergeCell ref="AB18:AC18"/>
    <mergeCell ref="AD18:AE18"/>
    <mergeCell ref="AF18:AG18"/>
    <mergeCell ref="AH18:AI18"/>
    <mergeCell ref="AF15:AG15"/>
    <mergeCell ref="AH15:AI15"/>
    <mergeCell ref="AH16:AI16"/>
    <mergeCell ref="AH13:AI13"/>
    <mergeCell ref="AH14:AI14"/>
    <mergeCell ref="M12:O12"/>
    <mergeCell ref="P12:R12"/>
    <mergeCell ref="S12:T12"/>
    <mergeCell ref="X12:Y12"/>
    <mergeCell ref="Z12:AA12"/>
    <mergeCell ref="AB12:AC12"/>
    <mergeCell ref="Q22:R22"/>
    <mergeCell ref="T22:U22"/>
    <mergeCell ref="N19:O19"/>
    <mergeCell ref="Q19:R19"/>
    <mergeCell ref="T19:U19"/>
    <mergeCell ref="X19:Y19"/>
    <mergeCell ref="Z19:AA19"/>
    <mergeCell ref="AB19:AC19"/>
    <mergeCell ref="AD19:AE19"/>
    <mergeCell ref="N23:O23"/>
    <mergeCell ref="Q23:R23"/>
    <mergeCell ref="T23:U23"/>
    <mergeCell ref="A9:A12"/>
    <mergeCell ref="A18:A20"/>
    <mergeCell ref="A21:A23"/>
    <mergeCell ref="F2:F3"/>
    <mergeCell ref="F4:F5"/>
    <mergeCell ref="F6:F7"/>
    <mergeCell ref="F8:F9"/>
    <mergeCell ref="F10:F11"/>
    <mergeCell ref="F12:F13"/>
    <mergeCell ref="B9:D12"/>
    <mergeCell ref="B18:D20"/>
    <mergeCell ref="B21:D23"/>
    <mergeCell ref="N20:O20"/>
    <mergeCell ref="Q20:R20"/>
    <mergeCell ref="T20:U20"/>
    <mergeCell ref="F21:I21"/>
    <mergeCell ref="J21:K21"/>
    <mergeCell ref="N21:O21"/>
    <mergeCell ref="Q21:R21"/>
    <mergeCell ref="T21:U21"/>
    <mergeCell ref="N22:O22"/>
  </mergeCells>
  <phoneticPr fontId="47" type="noConversion"/>
  <dataValidations count="3">
    <dataValidation type="list" allowBlank="1" showInputMessage="1" showErrorMessage="1" sqref="J21:K21 AH10:AH21 AI11:AI21" xr:uid="{00000000-0002-0000-0100-000001000000}">
      <formula1>$D$29:$D$30</formula1>
    </dataValidation>
    <dataValidation type="list" allowBlank="1" showInputMessage="1" showErrorMessage="1" sqref="B17:D17" xr:uid="{00000000-0002-0000-0100-000002000000}">
      <formula1>$A$42:$A$51</formula1>
    </dataValidation>
    <dataValidation allowBlank="1" showInputMessage="1" showErrorMessage="1" sqref="A18:A20" xr:uid="{00000000-0002-0000-0100-000003000000}"/>
  </dataValidations>
  <pageMargins left="0.7" right="0.7" top="0.75" bottom="0.75" header="0.3" footer="0.3"/>
  <pageSetup paperSize="9" orientation="portrait"/>
  <legacy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100-000000000000}">
          <x14:formula1>
            <xm:f>武器!$A$19:$A$20</xm:f>
          </x14:formula1>
          <xm:sqref>P12:R12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12"/>
  <dimension ref="A1:W32"/>
  <sheetViews>
    <sheetView workbookViewId="0">
      <selection activeCell="E13" sqref="E13:H14"/>
    </sheetView>
  </sheetViews>
  <sheetFormatPr defaultColWidth="9" defaultRowHeight="20.399999999999999" customHeight="1" x14ac:dyDescent="0.3"/>
  <sheetData>
    <row r="1" spans="1:23" ht="20.399999999999999" customHeight="1" x14ac:dyDescent="0.3">
      <c r="A1" s="137" t="s">
        <v>120</v>
      </c>
      <c r="B1" s="137"/>
      <c r="C1" s="137"/>
      <c r="D1" s="137"/>
      <c r="E1" s="137"/>
      <c r="F1" s="137"/>
      <c r="G1" s="137"/>
      <c r="H1" s="137"/>
      <c r="I1" s="137"/>
      <c r="J1" s="137"/>
      <c r="K1" s="137"/>
      <c r="L1" s="137"/>
      <c r="N1" s="138" t="s">
        <v>121</v>
      </c>
      <c r="O1" s="138"/>
      <c r="P1" s="138"/>
      <c r="Q1" s="138"/>
      <c r="R1" s="138"/>
      <c r="S1" s="138"/>
      <c r="T1" s="138"/>
      <c r="U1" s="138"/>
      <c r="V1" s="138"/>
      <c r="W1" s="138"/>
    </row>
    <row r="2" spans="1:23" ht="20.399999999999999" customHeight="1" thickBot="1" x14ac:dyDescent="0.35">
      <c r="A2" s="137"/>
      <c r="B2" s="137"/>
      <c r="C2" s="137"/>
      <c r="D2" s="137"/>
      <c r="E2" s="137"/>
      <c r="F2" s="137"/>
      <c r="G2" s="137"/>
      <c r="H2" s="137"/>
      <c r="I2" s="137"/>
      <c r="J2" s="137"/>
      <c r="K2" s="137"/>
      <c r="L2" s="137"/>
      <c r="N2" s="138"/>
      <c r="O2" s="138"/>
      <c r="P2" s="138"/>
      <c r="Q2" s="138"/>
      <c r="R2" s="138"/>
      <c r="S2" s="138"/>
      <c r="T2" s="138"/>
      <c r="U2" s="138"/>
      <c r="V2" s="138"/>
      <c r="W2" s="138"/>
    </row>
    <row r="3" spans="1:23" ht="20.399999999999999" customHeight="1" thickTop="1" x14ac:dyDescent="0.3">
      <c r="A3" s="139" t="s">
        <v>122</v>
      </c>
      <c r="B3" s="139"/>
      <c r="C3" s="139"/>
      <c r="D3" s="135">
        <f>SUMIF(E9:H591,"&gt;=0",E9:H591)</f>
        <v>5</v>
      </c>
      <c r="E3" s="135"/>
      <c r="F3" s="135"/>
      <c r="G3" s="141" t="s">
        <v>382</v>
      </c>
      <c r="H3" s="139"/>
      <c r="I3" s="139"/>
      <c r="J3" s="135">
        <f>1+INT(D3/8)</f>
        <v>1</v>
      </c>
      <c r="K3" s="135"/>
      <c r="L3" s="135"/>
      <c r="N3" s="134" t="s">
        <v>123</v>
      </c>
      <c r="O3" s="134"/>
      <c r="P3" s="134"/>
      <c r="Q3" s="134"/>
      <c r="R3" s="134"/>
      <c r="S3" s="134"/>
      <c r="T3" s="134"/>
      <c r="U3" s="134"/>
      <c r="V3" s="134"/>
      <c r="W3" s="134"/>
    </row>
    <row r="4" spans="1:23" ht="20.399999999999999" customHeight="1" thickBot="1" x14ac:dyDescent="0.35">
      <c r="A4" s="140"/>
      <c r="B4" s="140"/>
      <c r="C4" s="140"/>
      <c r="D4" s="136"/>
      <c r="E4" s="136"/>
      <c r="F4" s="136"/>
      <c r="G4" s="140"/>
      <c r="H4" s="140"/>
      <c r="I4" s="140"/>
      <c r="J4" s="136"/>
      <c r="K4" s="136"/>
      <c r="L4" s="136"/>
      <c r="N4" s="134"/>
      <c r="O4" s="134"/>
      <c r="P4" s="134"/>
      <c r="Q4" s="134"/>
      <c r="R4" s="134"/>
      <c r="S4" s="134"/>
      <c r="T4" s="134"/>
      <c r="U4" s="134"/>
      <c r="V4" s="134"/>
      <c r="W4" s="134"/>
    </row>
    <row r="5" spans="1:23" ht="20.399999999999999" customHeight="1" x14ac:dyDescent="0.3">
      <c r="A5" s="139" t="s">
        <v>124</v>
      </c>
      <c r="B5" s="139"/>
      <c r="C5" s="139"/>
      <c r="D5" s="135">
        <f>D3-J5</f>
        <v>5</v>
      </c>
      <c r="E5" s="135"/>
      <c r="F5" s="135"/>
      <c r="G5" s="139" t="s">
        <v>125</v>
      </c>
      <c r="H5" s="139"/>
      <c r="I5" s="139"/>
      <c r="J5" s="135">
        <f>E11</f>
        <v>0</v>
      </c>
      <c r="K5" s="135"/>
      <c r="L5" s="135"/>
      <c r="N5" s="134"/>
      <c r="O5" s="134"/>
      <c r="P5" s="134"/>
      <c r="Q5" s="134"/>
      <c r="R5" s="134"/>
      <c r="S5" s="134"/>
      <c r="T5" s="134"/>
      <c r="U5" s="134"/>
      <c r="V5" s="134"/>
      <c r="W5" s="134"/>
    </row>
    <row r="6" spans="1:23" ht="20.399999999999999" customHeight="1" x14ac:dyDescent="0.3">
      <c r="A6" s="140"/>
      <c r="B6" s="140"/>
      <c r="C6" s="140"/>
      <c r="D6" s="136"/>
      <c r="E6" s="136"/>
      <c r="F6" s="136"/>
      <c r="G6" s="140"/>
      <c r="H6" s="140"/>
      <c r="I6" s="140"/>
      <c r="J6" s="136"/>
      <c r="K6" s="136"/>
      <c r="L6" s="136"/>
      <c r="N6" s="134"/>
      <c r="O6" s="134"/>
      <c r="P6" s="134"/>
      <c r="Q6" s="134"/>
      <c r="R6" s="134"/>
      <c r="S6" s="134"/>
      <c r="T6" s="134"/>
      <c r="U6" s="134"/>
      <c r="V6" s="134"/>
      <c r="W6" s="134"/>
    </row>
    <row r="7" spans="1:23" ht="20.399999999999999" customHeight="1" x14ac:dyDescent="0.3">
      <c r="A7" s="135" t="s">
        <v>126</v>
      </c>
      <c r="B7" s="135"/>
      <c r="C7" s="135"/>
      <c r="D7" s="135"/>
      <c r="E7" s="135" t="s">
        <v>127</v>
      </c>
      <c r="F7" s="135"/>
      <c r="G7" s="135"/>
      <c r="H7" s="135"/>
      <c r="I7" s="135" t="s">
        <v>128</v>
      </c>
      <c r="J7" s="135"/>
      <c r="K7" s="135"/>
      <c r="L7" s="135"/>
      <c r="N7" s="134"/>
      <c r="O7" s="134"/>
      <c r="P7" s="134"/>
      <c r="Q7" s="134"/>
      <c r="R7" s="134"/>
      <c r="S7" s="134"/>
      <c r="T7" s="134"/>
      <c r="U7" s="134"/>
      <c r="V7" s="134"/>
      <c r="W7" s="134"/>
    </row>
    <row r="8" spans="1:23" ht="20.399999999999999" customHeight="1" x14ac:dyDescent="0.3">
      <c r="A8" s="136"/>
      <c r="B8" s="136"/>
      <c r="C8" s="136"/>
      <c r="D8" s="136"/>
      <c r="E8" s="136"/>
      <c r="F8" s="136"/>
      <c r="G8" s="136"/>
      <c r="H8" s="136"/>
      <c r="I8" s="136"/>
      <c r="J8" s="136"/>
      <c r="K8" s="136"/>
      <c r="L8" s="136"/>
      <c r="N8" s="134"/>
      <c r="O8" s="134"/>
      <c r="P8" s="134"/>
      <c r="Q8" s="134"/>
      <c r="R8" s="134"/>
      <c r="S8" s="134"/>
      <c r="T8" s="134"/>
      <c r="U8" s="134"/>
      <c r="V8" s="134"/>
      <c r="W8" s="134"/>
    </row>
    <row r="9" spans="1:23" ht="20.399999999999999" customHeight="1" x14ac:dyDescent="0.3">
      <c r="A9" s="132" t="s">
        <v>129</v>
      </c>
      <c r="B9" s="132"/>
      <c r="C9" s="132"/>
      <c r="D9" s="132"/>
      <c r="E9" s="132">
        <v>5</v>
      </c>
      <c r="F9" s="132"/>
      <c r="G9" s="132"/>
      <c r="H9" s="132"/>
      <c r="I9" s="132">
        <f>E9</f>
        <v>5</v>
      </c>
      <c r="J9" s="132"/>
      <c r="K9" s="132"/>
      <c r="L9" s="132"/>
      <c r="N9" s="134"/>
      <c r="O9" s="134"/>
      <c r="P9" s="134"/>
      <c r="Q9" s="134"/>
      <c r="R9" s="134"/>
      <c r="S9" s="134"/>
      <c r="T9" s="134"/>
      <c r="U9" s="134"/>
      <c r="V9" s="134"/>
      <c r="W9" s="134"/>
    </row>
    <row r="10" spans="1:23" ht="20.399999999999999" customHeight="1" x14ac:dyDescent="0.3">
      <c r="A10" s="133"/>
      <c r="B10" s="133"/>
      <c r="C10" s="133"/>
      <c r="D10" s="133"/>
      <c r="E10" s="133"/>
      <c r="F10" s="133"/>
      <c r="G10" s="133"/>
      <c r="H10" s="133"/>
      <c r="I10" s="133"/>
      <c r="J10" s="133"/>
      <c r="K10" s="133"/>
      <c r="L10" s="133"/>
      <c r="N10" s="134"/>
      <c r="O10" s="134"/>
      <c r="P10" s="134"/>
      <c r="Q10" s="134"/>
      <c r="R10" s="134"/>
      <c r="S10" s="134"/>
      <c r="T10" s="134"/>
      <c r="U10" s="134"/>
      <c r="V10" s="134"/>
      <c r="W10" s="134"/>
    </row>
    <row r="11" spans="1:23" ht="20.399999999999999" customHeight="1" x14ac:dyDescent="0.3">
      <c r="A11" s="132" t="s">
        <v>130</v>
      </c>
      <c r="B11" s="132"/>
      <c r="C11" s="132"/>
      <c r="D11" s="132"/>
      <c r="E11" s="132">
        <f>IF((240-SUM(总表!G3,总表!G5,总表!G7,总表!G9,总表!G11,总表!G13))/5&gt;0,(240-SUM(总表!G3,总表!G5,总表!G7,总表!G9,总表!G11,总表!G13))/5,0)</f>
        <v>0</v>
      </c>
      <c r="F11" s="132"/>
      <c r="G11" s="132"/>
      <c r="H11" s="132"/>
      <c r="I11" s="132">
        <f>E11+I9</f>
        <v>5</v>
      </c>
      <c r="J11" s="132"/>
      <c r="K11" s="132"/>
      <c r="L11" s="132"/>
      <c r="N11" s="134"/>
      <c r="O11" s="134"/>
      <c r="P11" s="134"/>
      <c r="Q11" s="134"/>
      <c r="R11" s="134"/>
      <c r="S11" s="134"/>
      <c r="T11" s="134"/>
      <c r="U11" s="134"/>
      <c r="V11" s="134"/>
      <c r="W11" s="134"/>
    </row>
    <row r="12" spans="1:23" ht="20.399999999999999" customHeight="1" x14ac:dyDescent="0.3">
      <c r="A12" s="133"/>
      <c r="B12" s="133"/>
      <c r="C12" s="133"/>
      <c r="D12" s="133"/>
      <c r="E12" s="133"/>
      <c r="F12" s="133"/>
      <c r="G12" s="133"/>
      <c r="H12" s="133"/>
      <c r="I12" s="133"/>
      <c r="J12" s="133"/>
      <c r="K12" s="133"/>
      <c r="L12" s="133"/>
      <c r="N12" s="134"/>
      <c r="O12" s="134"/>
      <c r="P12" s="134"/>
      <c r="Q12" s="134"/>
      <c r="R12" s="134"/>
      <c r="S12" s="134"/>
      <c r="T12" s="134"/>
      <c r="U12" s="134"/>
      <c r="V12" s="134"/>
      <c r="W12" s="134"/>
    </row>
    <row r="13" spans="1:23" ht="20.399999999999999" customHeight="1" x14ac:dyDescent="0.3">
      <c r="A13" s="132" t="s">
        <v>131</v>
      </c>
      <c r="B13" s="132"/>
      <c r="C13" s="132"/>
      <c r="D13" s="132"/>
      <c r="E13" s="132">
        <v>0</v>
      </c>
      <c r="F13" s="132"/>
      <c r="G13" s="132"/>
      <c r="H13" s="132"/>
      <c r="I13" s="132">
        <f t="shared" ref="I13" si="0">E13+I11</f>
        <v>5</v>
      </c>
      <c r="J13" s="132"/>
      <c r="K13" s="132"/>
      <c r="L13" s="132"/>
      <c r="N13" s="134"/>
      <c r="O13" s="134"/>
      <c r="P13" s="134"/>
      <c r="Q13" s="134"/>
      <c r="R13" s="134"/>
      <c r="S13" s="134"/>
      <c r="T13" s="134"/>
      <c r="U13" s="134"/>
      <c r="V13" s="134"/>
      <c r="W13" s="134"/>
    </row>
    <row r="14" spans="1:23" ht="20.399999999999999" customHeight="1" x14ac:dyDescent="0.3">
      <c r="A14" s="133"/>
      <c r="B14" s="133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N14" s="134"/>
      <c r="O14" s="134"/>
      <c r="P14" s="134"/>
      <c r="Q14" s="134"/>
      <c r="R14" s="134"/>
      <c r="S14" s="134"/>
      <c r="T14" s="134"/>
      <c r="U14" s="134"/>
      <c r="V14" s="134"/>
      <c r="W14" s="134"/>
    </row>
    <row r="15" spans="1:23" ht="20.399999999999999" customHeight="1" x14ac:dyDescent="0.3">
      <c r="A15" s="132" t="s">
        <v>353</v>
      </c>
      <c r="B15" s="132"/>
      <c r="C15" s="132"/>
      <c r="D15" s="132"/>
      <c r="E15" s="132">
        <v>-3</v>
      </c>
      <c r="F15" s="132"/>
      <c r="G15" s="132"/>
      <c r="H15" s="132"/>
      <c r="I15" s="132">
        <f t="shared" ref="I15" si="1">E15+I13</f>
        <v>2</v>
      </c>
      <c r="J15" s="132"/>
      <c r="K15" s="132"/>
      <c r="L15" s="132"/>
      <c r="N15" s="134"/>
      <c r="O15" s="134"/>
      <c r="P15" s="134"/>
      <c r="Q15" s="134"/>
      <c r="R15" s="134"/>
      <c r="S15" s="134"/>
      <c r="T15" s="134"/>
      <c r="U15" s="134"/>
      <c r="V15" s="134"/>
      <c r="W15" s="134"/>
    </row>
    <row r="16" spans="1:23" ht="20.399999999999999" customHeight="1" x14ac:dyDescent="0.3">
      <c r="A16" s="133"/>
      <c r="B16" s="133"/>
      <c r="C16" s="133"/>
      <c r="D16" s="133"/>
      <c r="E16" s="133"/>
      <c r="F16" s="133"/>
      <c r="G16" s="133"/>
      <c r="H16" s="133"/>
      <c r="I16" s="133"/>
      <c r="J16" s="133"/>
      <c r="K16" s="133"/>
      <c r="L16" s="133"/>
      <c r="N16" s="134"/>
      <c r="O16" s="134"/>
      <c r="P16" s="134"/>
      <c r="Q16" s="134"/>
      <c r="R16" s="134"/>
      <c r="S16" s="134"/>
      <c r="T16" s="134"/>
      <c r="U16" s="134"/>
      <c r="V16" s="134"/>
      <c r="W16" s="134"/>
    </row>
    <row r="17" spans="1:23" ht="20.399999999999999" customHeight="1" x14ac:dyDescent="0.3">
      <c r="A17" s="132" t="s">
        <v>132</v>
      </c>
      <c r="B17" s="132"/>
      <c r="C17" s="132"/>
      <c r="D17" s="132"/>
      <c r="E17" s="132">
        <v>-2</v>
      </c>
      <c r="F17" s="132"/>
      <c r="G17" s="132"/>
      <c r="H17" s="132"/>
      <c r="I17" s="132">
        <f t="shared" ref="I17" si="2">E17+I15</f>
        <v>0</v>
      </c>
      <c r="J17" s="132"/>
      <c r="K17" s="132"/>
      <c r="L17" s="132"/>
      <c r="N17" s="134"/>
      <c r="O17" s="134"/>
      <c r="P17" s="134"/>
      <c r="Q17" s="134"/>
      <c r="R17" s="134"/>
      <c r="S17" s="134"/>
      <c r="T17" s="134"/>
      <c r="U17" s="134"/>
      <c r="V17" s="134"/>
      <c r="W17" s="134"/>
    </row>
    <row r="18" spans="1:23" ht="20.399999999999999" customHeight="1" x14ac:dyDescent="0.3">
      <c r="A18" s="133"/>
      <c r="B18" s="133"/>
      <c r="C18" s="133"/>
      <c r="D18" s="133"/>
      <c r="E18" s="133"/>
      <c r="F18" s="133"/>
      <c r="G18" s="133"/>
      <c r="H18" s="133"/>
      <c r="I18" s="133"/>
      <c r="J18" s="133"/>
      <c r="K18" s="133"/>
      <c r="L18" s="133"/>
      <c r="N18" s="134"/>
      <c r="O18" s="134"/>
      <c r="P18" s="134"/>
      <c r="Q18" s="134"/>
      <c r="R18" s="134"/>
      <c r="S18" s="134"/>
      <c r="T18" s="134"/>
      <c r="U18" s="134"/>
      <c r="V18" s="134"/>
      <c r="W18" s="134"/>
    </row>
    <row r="19" spans="1:23" ht="20.399999999999999" customHeight="1" x14ac:dyDescent="0.3">
      <c r="A19" s="132"/>
      <c r="B19" s="132"/>
      <c r="C19" s="132"/>
      <c r="D19" s="132"/>
      <c r="E19" s="132"/>
      <c r="F19" s="132"/>
      <c r="G19" s="132"/>
      <c r="H19" s="132"/>
      <c r="I19" s="132">
        <f t="shared" ref="I19" si="3">E19+I17</f>
        <v>0</v>
      </c>
      <c r="J19" s="132"/>
      <c r="K19" s="132"/>
      <c r="L19" s="132"/>
      <c r="N19" s="134"/>
      <c r="O19" s="134"/>
      <c r="P19" s="134"/>
      <c r="Q19" s="134"/>
      <c r="R19" s="134"/>
      <c r="S19" s="134"/>
      <c r="T19" s="134"/>
      <c r="U19" s="134"/>
      <c r="V19" s="134"/>
      <c r="W19" s="134"/>
    </row>
    <row r="20" spans="1:23" ht="20.399999999999999" customHeight="1" x14ac:dyDescent="0.3">
      <c r="A20" s="133"/>
      <c r="B20" s="133"/>
      <c r="C20" s="133"/>
      <c r="D20" s="133"/>
      <c r="E20" s="133"/>
      <c r="F20" s="133"/>
      <c r="G20" s="133"/>
      <c r="H20" s="133"/>
      <c r="I20" s="133"/>
      <c r="J20" s="133"/>
      <c r="K20" s="133"/>
      <c r="L20" s="133"/>
      <c r="N20" s="134"/>
      <c r="O20" s="134"/>
      <c r="P20" s="134"/>
      <c r="Q20" s="134"/>
      <c r="R20" s="134"/>
      <c r="S20" s="134"/>
      <c r="T20" s="134"/>
      <c r="U20" s="134"/>
      <c r="V20" s="134"/>
      <c r="W20" s="134"/>
    </row>
    <row r="21" spans="1:23" ht="20.399999999999999" customHeight="1" x14ac:dyDescent="0.3">
      <c r="A21" s="132"/>
      <c r="B21" s="132"/>
      <c r="C21" s="132"/>
      <c r="D21" s="132"/>
      <c r="E21" s="132"/>
      <c r="F21" s="132"/>
      <c r="G21" s="132"/>
      <c r="H21" s="132"/>
      <c r="I21" s="132">
        <f t="shared" ref="I21" si="4">E21+I19</f>
        <v>0</v>
      </c>
      <c r="J21" s="132"/>
      <c r="K21" s="132"/>
      <c r="L21" s="132"/>
      <c r="N21" s="134"/>
      <c r="O21" s="134"/>
      <c r="P21" s="134"/>
      <c r="Q21" s="134"/>
      <c r="R21" s="134"/>
      <c r="S21" s="134"/>
      <c r="T21" s="134"/>
      <c r="U21" s="134"/>
      <c r="V21" s="134"/>
      <c r="W21" s="134"/>
    </row>
    <row r="22" spans="1:23" ht="20.399999999999999" customHeight="1" x14ac:dyDescent="0.3">
      <c r="A22" s="133"/>
      <c r="B22" s="133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N22" s="134"/>
      <c r="O22" s="134"/>
      <c r="P22" s="134"/>
      <c r="Q22" s="134"/>
      <c r="R22" s="134"/>
      <c r="S22" s="134"/>
      <c r="T22" s="134"/>
      <c r="U22" s="134"/>
      <c r="V22" s="134"/>
      <c r="W22" s="134"/>
    </row>
    <row r="23" spans="1:23" ht="20.399999999999999" customHeight="1" x14ac:dyDescent="0.3">
      <c r="A23" s="132"/>
      <c r="B23" s="132"/>
      <c r="C23" s="132"/>
      <c r="D23" s="132"/>
      <c r="E23" s="132"/>
      <c r="F23" s="132"/>
      <c r="G23" s="132"/>
      <c r="H23" s="132"/>
      <c r="I23" s="132">
        <f t="shared" ref="I23" si="5">E23+I21</f>
        <v>0</v>
      </c>
      <c r="J23" s="132"/>
      <c r="K23" s="132"/>
      <c r="L23" s="132"/>
      <c r="N23" s="134"/>
      <c r="O23" s="134"/>
      <c r="P23" s="134"/>
      <c r="Q23" s="134"/>
      <c r="R23" s="134"/>
      <c r="S23" s="134"/>
      <c r="T23" s="134"/>
      <c r="U23" s="134"/>
      <c r="V23" s="134"/>
      <c r="W23" s="134"/>
    </row>
    <row r="24" spans="1:23" ht="20.399999999999999" customHeight="1" x14ac:dyDescent="0.3">
      <c r="A24" s="133"/>
      <c r="B24" s="133"/>
      <c r="C24" s="133"/>
      <c r="D24" s="133"/>
      <c r="E24" s="133"/>
      <c r="F24" s="133"/>
      <c r="G24" s="133"/>
      <c r="H24" s="133"/>
      <c r="I24" s="133"/>
      <c r="J24" s="133"/>
      <c r="K24" s="133"/>
      <c r="L24" s="133"/>
      <c r="N24" s="134"/>
      <c r="O24" s="134"/>
      <c r="P24" s="134"/>
      <c r="Q24" s="134"/>
      <c r="R24" s="134"/>
      <c r="S24" s="134"/>
      <c r="T24" s="134"/>
      <c r="U24" s="134"/>
      <c r="V24" s="134"/>
      <c r="W24" s="134"/>
    </row>
    <row r="25" spans="1:23" ht="20.399999999999999" customHeight="1" x14ac:dyDescent="0.3">
      <c r="A25" s="132"/>
      <c r="B25" s="132"/>
      <c r="C25" s="132"/>
      <c r="D25" s="132"/>
      <c r="E25" s="132"/>
      <c r="F25" s="132"/>
      <c r="G25" s="132"/>
      <c r="H25" s="132"/>
      <c r="I25" s="132">
        <f t="shared" ref="I25" si="6">E25+I23</f>
        <v>0</v>
      </c>
      <c r="J25" s="132"/>
      <c r="K25" s="132"/>
      <c r="L25" s="132"/>
      <c r="N25" s="134"/>
      <c r="O25" s="134"/>
      <c r="P25" s="134"/>
      <c r="Q25" s="134"/>
      <c r="R25" s="134"/>
      <c r="S25" s="134"/>
      <c r="T25" s="134"/>
      <c r="U25" s="134"/>
      <c r="V25" s="134"/>
      <c r="W25" s="134"/>
    </row>
    <row r="26" spans="1:23" ht="20.399999999999999" customHeight="1" x14ac:dyDescent="0.3">
      <c r="A26" s="133"/>
      <c r="B26" s="133"/>
      <c r="C26" s="133"/>
      <c r="D26" s="133"/>
      <c r="E26" s="133"/>
      <c r="F26" s="133"/>
      <c r="G26" s="133"/>
      <c r="H26" s="133"/>
      <c r="I26" s="133"/>
      <c r="J26" s="133"/>
      <c r="K26" s="133"/>
      <c r="L26" s="133"/>
      <c r="N26" s="134"/>
      <c r="O26" s="134"/>
      <c r="P26" s="134"/>
      <c r="Q26" s="134"/>
      <c r="R26" s="134"/>
      <c r="S26" s="134"/>
      <c r="T26" s="134"/>
      <c r="U26" s="134"/>
      <c r="V26" s="134"/>
      <c r="W26" s="134"/>
    </row>
    <row r="27" spans="1:23" ht="20.399999999999999" customHeight="1" x14ac:dyDescent="0.3">
      <c r="A27" s="132"/>
      <c r="B27" s="132"/>
      <c r="C27" s="132"/>
      <c r="D27" s="132"/>
      <c r="E27" s="132"/>
      <c r="F27" s="132"/>
      <c r="G27" s="132"/>
      <c r="H27" s="132"/>
      <c r="I27" s="132">
        <f t="shared" ref="I27" si="7">E27+I25</f>
        <v>0</v>
      </c>
      <c r="J27" s="132"/>
      <c r="K27" s="132"/>
      <c r="L27" s="132"/>
      <c r="N27" s="134"/>
      <c r="O27" s="134"/>
      <c r="P27" s="134"/>
      <c r="Q27" s="134"/>
      <c r="R27" s="134"/>
      <c r="S27" s="134"/>
      <c r="T27" s="134"/>
      <c r="U27" s="134"/>
      <c r="V27" s="134"/>
      <c r="W27" s="134"/>
    </row>
    <row r="28" spans="1:23" ht="20.399999999999999" customHeight="1" x14ac:dyDescent="0.3">
      <c r="A28" s="133"/>
      <c r="B28" s="133"/>
      <c r="C28" s="133"/>
      <c r="D28" s="133"/>
      <c r="E28" s="133"/>
      <c r="F28" s="133"/>
      <c r="G28" s="133"/>
      <c r="H28" s="133"/>
      <c r="I28" s="133"/>
      <c r="J28" s="133"/>
      <c r="K28" s="133"/>
      <c r="L28" s="133"/>
      <c r="N28" s="134"/>
      <c r="O28" s="134"/>
      <c r="P28" s="134"/>
      <c r="Q28" s="134"/>
      <c r="R28" s="134"/>
      <c r="S28" s="134"/>
      <c r="T28" s="134"/>
      <c r="U28" s="134"/>
      <c r="V28" s="134"/>
      <c r="W28" s="134"/>
    </row>
    <row r="29" spans="1:23" ht="20.399999999999999" customHeight="1" x14ac:dyDescent="0.3">
      <c r="A29" s="132"/>
      <c r="B29" s="132"/>
      <c r="C29" s="132"/>
      <c r="D29" s="132"/>
      <c r="E29" s="132"/>
      <c r="F29" s="132"/>
      <c r="G29" s="132"/>
      <c r="H29" s="132"/>
      <c r="I29" s="132">
        <f t="shared" ref="I29" si="8">E29+I27</f>
        <v>0</v>
      </c>
      <c r="J29" s="132"/>
      <c r="K29" s="132"/>
      <c r="L29" s="132"/>
      <c r="N29" s="134"/>
      <c r="O29" s="134"/>
      <c r="P29" s="134"/>
      <c r="Q29" s="134"/>
      <c r="R29" s="134"/>
      <c r="S29" s="134"/>
      <c r="T29" s="134"/>
      <c r="U29" s="134"/>
      <c r="V29" s="134"/>
      <c r="W29" s="134"/>
    </row>
    <row r="30" spans="1:23" ht="20.399999999999999" customHeight="1" x14ac:dyDescent="0.3">
      <c r="A30" s="133"/>
      <c r="B30" s="133"/>
      <c r="C30" s="133"/>
      <c r="D30" s="133"/>
      <c r="E30" s="133"/>
      <c r="F30" s="133"/>
      <c r="G30" s="133"/>
      <c r="H30" s="133"/>
      <c r="I30" s="133"/>
      <c r="J30" s="133"/>
      <c r="K30" s="133"/>
      <c r="L30" s="133"/>
      <c r="N30" s="134"/>
      <c r="O30" s="134"/>
      <c r="P30" s="134"/>
      <c r="Q30" s="134"/>
      <c r="R30" s="134"/>
      <c r="S30" s="134"/>
      <c r="T30" s="134"/>
      <c r="U30" s="134"/>
      <c r="V30" s="134"/>
      <c r="W30" s="134"/>
    </row>
    <row r="32" spans="1:23" ht="20.399999999999999" customHeight="1" x14ac:dyDescent="0.3">
      <c r="I32" s="27"/>
      <c r="J32" s="27"/>
      <c r="K32" s="27"/>
      <c r="L32" s="27"/>
      <c r="M32" s="27"/>
      <c r="N32" s="27"/>
      <c r="O32" s="27"/>
    </row>
  </sheetData>
  <protectedRanges>
    <protectedRange sqref="N3" name="区域1"/>
    <protectedRange sqref="B7 B9 B13 F7 J7 B3 F3" name="角色基础信息区域"/>
    <protectedRange sqref="B11" name="角色基础信息区域_5"/>
  </protectedRanges>
  <mergeCells count="47">
    <mergeCell ref="A1:L2"/>
    <mergeCell ref="N1:W2"/>
    <mergeCell ref="A9:D10"/>
    <mergeCell ref="E9:H10"/>
    <mergeCell ref="I9:L10"/>
    <mergeCell ref="A5:C6"/>
    <mergeCell ref="D5:F6"/>
    <mergeCell ref="G5:I6"/>
    <mergeCell ref="J5:L6"/>
    <mergeCell ref="A3:C4"/>
    <mergeCell ref="D3:F4"/>
    <mergeCell ref="G3:I4"/>
    <mergeCell ref="J3:L4"/>
    <mergeCell ref="A13:D14"/>
    <mergeCell ref="E13:H14"/>
    <mergeCell ref="I13:L14"/>
    <mergeCell ref="A15:D16"/>
    <mergeCell ref="E15:H16"/>
    <mergeCell ref="I15:L16"/>
    <mergeCell ref="A11:D12"/>
    <mergeCell ref="E11:H12"/>
    <mergeCell ref="I11:L12"/>
    <mergeCell ref="N3:W30"/>
    <mergeCell ref="A7:D8"/>
    <mergeCell ref="E7:H8"/>
    <mergeCell ref="I7:L8"/>
    <mergeCell ref="A21:D22"/>
    <mergeCell ref="E21:H22"/>
    <mergeCell ref="I21:L22"/>
    <mergeCell ref="A19:D20"/>
    <mergeCell ref="E19:H20"/>
    <mergeCell ref="I19:L20"/>
    <mergeCell ref="A17:D18"/>
    <mergeCell ref="E17:H18"/>
    <mergeCell ref="I17:L18"/>
    <mergeCell ref="A29:D30"/>
    <mergeCell ref="E29:H30"/>
    <mergeCell ref="I29:L30"/>
    <mergeCell ref="A27:D28"/>
    <mergeCell ref="E27:H28"/>
    <mergeCell ref="I27:L28"/>
    <mergeCell ref="A23:D24"/>
    <mergeCell ref="E23:H24"/>
    <mergeCell ref="I23:L24"/>
    <mergeCell ref="A25:D26"/>
    <mergeCell ref="E25:H26"/>
    <mergeCell ref="I25:L26"/>
  </mergeCells>
  <phoneticPr fontId="47" type="noConversion"/>
  <pageMargins left="0.7" right="0.7" top="0.75" bottom="0.75" header="0.3" footer="0.3"/>
  <pageSetup paperSize="9" orientation="portrait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2"/>
  <dimension ref="A1:AE26"/>
  <sheetViews>
    <sheetView workbookViewId="0">
      <selection sqref="A1:G2"/>
    </sheetView>
  </sheetViews>
  <sheetFormatPr defaultColWidth="9" defaultRowHeight="20.399999999999999" customHeight="1" x14ac:dyDescent="0.3"/>
  <sheetData>
    <row r="1" spans="1:31" ht="20.399999999999999" customHeight="1" x14ac:dyDescent="0.3">
      <c r="A1" s="142" t="s">
        <v>133</v>
      </c>
      <c r="B1" s="142"/>
      <c r="C1" s="142"/>
      <c r="D1" s="142"/>
      <c r="E1" s="142"/>
      <c r="F1" s="142"/>
      <c r="G1" s="142"/>
      <c r="H1" s="26"/>
      <c r="I1" s="142" t="s">
        <v>134</v>
      </c>
      <c r="J1" s="142"/>
      <c r="K1" s="142"/>
      <c r="L1" s="142"/>
      <c r="M1" s="142"/>
      <c r="N1" s="142"/>
      <c r="O1" s="142"/>
      <c r="P1" s="26"/>
      <c r="Q1" s="142" t="s">
        <v>135</v>
      </c>
      <c r="R1" s="142"/>
      <c r="S1" s="142"/>
      <c r="T1" s="142"/>
      <c r="U1" s="142"/>
      <c r="V1" s="142"/>
      <c r="W1" s="142"/>
      <c r="X1" s="26"/>
      <c r="Y1" s="142" t="s">
        <v>136</v>
      </c>
      <c r="Z1" s="142"/>
      <c r="AA1" s="142"/>
      <c r="AB1" s="142"/>
      <c r="AC1" s="142"/>
      <c r="AD1" s="142"/>
      <c r="AE1" s="142"/>
    </row>
    <row r="2" spans="1:31" ht="20.399999999999999" customHeight="1" x14ac:dyDescent="0.3">
      <c r="A2" s="142"/>
      <c r="B2" s="142"/>
      <c r="C2" s="142"/>
      <c r="D2" s="142"/>
      <c r="E2" s="142"/>
      <c r="F2" s="142"/>
      <c r="G2" s="142"/>
      <c r="H2" s="26"/>
      <c r="I2" s="142"/>
      <c r="J2" s="142"/>
      <c r="K2" s="142"/>
      <c r="L2" s="142"/>
      <c r="M2" s="142"/>
      <c r="N2" s="142"/>
      <c r="O2" s="142"/>
      <c r="P2" s="26"/>
      <c r="Q2" s="142"/>
      <c r="R2" s="142"/>
      <c r="S2" s="142"/>
      <c r="T2" s="142"/>
      <c r="U2" s="142"/>
      <c r="V2" s="142"/>
      <c r="W2" s="142"/>
      <c r="X2" s="26"/>
      <c r="Y2" s="142"/>
      <c r="Z2" s="142"/>
      <c r="AA2" s="142"/>
      <c r="AB2" s="142"/>
      <c r="AC2" s="142"/>
      <c r="AD2" s="142"/>
      <c r="AE2" s="142"/>
    </row>
    <row r="3" spans="1:31" ht="20.399999999999999" customHeight="1" x14ac:dyDescent="0.3">
      <c r="A3" s="143" t="s">
        <v>137</v>
      </c>
      <c r="B3" s="143"/>
      <c r="C3" s="143"/>
      <c r="D3" s="143"/>
      <c r="E3" s="143"/>
      <c r="F3" s="143"/>
      <c r="G3" s="143"/>
      <c r="I3" s="143"/>
      <c r="J3" s="143"/>
      <c r="K3" s="143"/>
      <c r="L3" s="143"/>
      <c r="M3" s="143"/>
      <c r="N3" s="143"/>
      <c r="O3" s="143"/>
      <c r="Q3" s="144" t="s">
        <v>111</v>
      </c>
      <c r="R3" s="144"/>
      <c r="S3" s="144"/>
      <c r="T3" s="145">
        <v>0</v>
      </c>
      <c r="U3" s="145"/>
      <c r="V3" s="145"/>
      <c r="W3" s="145"/>
      <c r="Y3" s="143"/>
      <c r="Z3" s="143"/>
      <c r="AA3" s="143"/>
      <c r="AB3" s="143"/>
      <c r="AC3" s="143"/>
      <c r="AD3" s="143"/>
      <c r="AE3" s="143"/>
    </row>
    <row r="4" spans="1:31" ht="20.399999999999999" customHeight="1" x14ac:dyDescent="0.3">
      <c r="A4" s="143"/>
      <c r="B4" s="143"/>
      <c r="C4" s="143"/>
      <c r="D4" s="143"/>
      <c r="E4" s="143"/>
      <c r="F4" s="143"/>
      <c r="G4" s="143"/>
      <c r="I4" s="143"/>
      <c r="J4" s="143"/>
      <c r="K4" s="143"/>
      <c r="L4" s="143"/>
      <c r="M4" s="143"/>
      <c r="N4" s="143"/>
      <c r="O4" s="143"/>
      <c r="Q4" s="144"/>
      <c r="R4" s="144"/>
      <c r="S4" s="144"/>
      <c r="T4" s="145"/>
      <c r="U4" s="145"/>
      <c r="V4" s="145"/>
      <c r="W4" s="145"/>
      <c r="Y4" s="143"/>
      <c r="Z4" s="143"/>
      <c r="AA4" s="143"/>
      <c r="AB4" s="143"/>
      <c r="AC4" s="143"/>
      <c r="AD4" s="143"/>
      <c r="AE4" s="143"/>
    </row>
    <row r="5" spans="1:31" ht="20.399999999999999" customHeight="1" x14ac:dyDescent="0.3">
      <c r="A5" s="143"/>
      <c r="B5" s="143"/>
      <c r="C5" s="143"/>
      <c r="D5" s="143"/>
      <c r="E5" s="143"/>
      <c r="F5" s="143"/>
      <c r="G5" s="143"/>
      <c r="I5" s="143"/>
      <c r="J5" s="143"/>
      <c r="K5" s="143"/>
      <c r="L5" s="143"/>
      <c r="M5" s="143"/>
      <c r="N5" s="143"/>
      <c r="O5" s="143"/>
      <c r="Q5" s="144" t="s">
        <v>138</v>
      </c>
      <c r="R5" s="144"/>
      <c r="S5" s="144"/>
      <c r="T5" s="145" t="s">
        <v>139</v>
      </c>
      <c r="U5" s="145"/>
      <c r="V5" s="145"/>
      <c r="W5" s="145"/>
      <c r="Y5" s="143"/>
      <c r="Z5" s="143"/>
      <c r="AA5" s="143"/>
      <c r="AB5" s="143"/>
      <c r="AC5" s="143"/>
      <c r="AD5" s="143"/>
      <c r="AE5" s="143"/>
    </row>
    <row r="6" spans="1:31" ht="20.399999999999999" customHeight="1" x14ac:dyDescent="0.3">
      <c r="A6" s="143"/>
      <c r="B6" s="143"/>
      <c r="C6" s="143"/>
      <c r="D6" s="143"/>
      <c r="E6" s="143"/>
      <c r="F6" s="143"/>
      <c r="G6" s="143"/>
      <c r="I6" s="143"/>
      <c r="J6" s="143"/>
      <c r="K6" s="143"/>
      <c r="L6" s="143"/>
      <c r="M6" s="143"/>
      <c r="N6" s="143"/>
      <c r="O6" s="143"/>
      <c r="Q6" s="144"/>
      <c r="R6" s="144"/>
      <c r="S6" s="144"/>
      <c r="T6" s="145"/>
      <c r="U6" s="145"/>
      <c r="V6" s="145"/>
      <c r="W6" s="145"/>
      <c r="Y6" s="143"/>
      <c r="Z6" s="143"/>
      <c r="AA6" s="143"/>
      <c r="AB6" s="143"/>
      <c r="AC6" s="143"/>
      <c r="AD6" s="143"/>
      <c r="AE6" s="143"/>
    </row>
    <row r="7" spans="1:31" ht="20.399999999999999" customHeight="1" x14ac:dyDescent="0.3">
      <c r="A7" s="143"/>
      <c r="B7" s="143"/>
      <c r="C7" s="143"/>
      <c r="D7" s="143"/>
      <c r="E7" s="143"/>
      <c r="F7" s="143"/>
      <c r="G7" s="143"/>
      <c r="I7" s="143"/>
      <c r="J7" s="143"/>
      <c r="K7" s="143"/>
      <c r="L7" s="143"/>
      <c r="M7" s="143"/>
      <c r="N7" s="143"/>
      <c r="O7" s="143"/>
      <c r="Q7" s="144" t="s">
        <v>140</v>
      </c>
      <c r="R7" s="144"/>
      <c r="S7" s="144"/>
      <c r="T7" s="145" t="s">
        <v>141</v>
      </c>
      <c r="U7" s="145"/>
      <c r="V7" s="145"/>
      <c r="W7" s="145"/>
      <c r="Y7" s="143"/>
      <c r="Z7" s="143"/>
      <c r="AA7" s="143"/>
      <c r="AB7" s="143"/>
      <c r="AC7" s="143"/>
      <c r="AD7" s="143"/>
      <c r="AE7" s="143"/>
    </row>
    <row r="8" spans="1:31" ht="20.399999999999999" customHeight="1" x14ac:dyDescent="0.3">
      <c r="A8" s="143"/>
      <c r="B8" s="143"/>
      <c r="C8" s="143"/>
      <c r="D8" s="143"/>
      <c r="E8" s="143"/>
      <c r="F8" s="143"/>
      <c r="G8" s="143"/>
      <c r="I8" s="143"/>
      <c r="J8" s="143"/>
      <c r="K8" s="143"/>
      <c r="L8" s="143"/>
      <c r="M8" s="143"/>
      <c r="N8" s="143"/>
      <c r="O8" s="143"/>
      <c r="Q8" s="144"/>
      <c r="R8" s="144"/>
      <c r="S8" s="144"/>
      <c r="T8" s="145"/>
      <c r="U8" s="145"/>
      <c r="V8" s="145"/>
      <c r="W8" s="145"/>
      <c r="Y8" s="143"/>
      <c r="Z8" s="143"/>
      <c r="AA8" s="143"/>
      <c r="AB8" s="143"/>
      <c r="AC8" s="143"/>
      <c r="AD8" s="143"/>
      <c r="AE8" s="143"/>
    </row>
    <row r="9" spans="1:31" ht="20.399999999999999" customHeight="1" x14ac:dyDescent="0.3">
      <c r="A9" s="143"/>
      <c r="B9" s="143"/>
      <c r="C9" s="143"/>
      <c r="D9" s="143"/>
      <c r="E9" s="143"/>
      <c r="F9" s="143"/>
      <c r="G9" s="143"/>
      <c r="I9" s="143"/>
      <c r="J9" s="143"/>
      <c r="K9" s="143"/>
      <c r="L9" s="143"/>
      <c r="M9" s="143"/>
      <c r="N9" s="143"/>
      <c r="O9" s="143"/>
      <c r="Q9" s="144" t="s">
        <v>142</v>
      </c>
      <c r="R9" s="144"/>
      <c r="S9" s="144"/>
      <c r="T9" s="144"/>
      <c r="U9" s="144"/>
      <c r="V9" s="144"/>
      <c r="W9" s="144"/>
      <c r="Y9" s="143"/>
      <c r="Z9" s="143"/>
      <c r="AA9" s="143"/>
      <c r="AB9" s="143"/>
      <c r="AC9" s="143"/>
      <c r="AD9" s="143"/>
      <c r="AE9" s="143"/>
    </row>
    <row r="10" spans="1:31" ht="20.399999999999999" customHeight="1" x14ac:dyDescent="0.3">
      <c r="A10" s="143"/>
      <c r="B10" s="143"/>
      <c r="C10" s="143"/>
      <c r="D10" s="143"/>
      <c r="E10" s="143"/>
      <c r="F10" s="143"/>
      <c r="G10" s="143"/>
      <c r="I10" s="143"/>
      <c r="J10" s="143"/>
      <c r="K10" s="143"/>
      <c r="L10" s="143"/>
      <c r="M10" s="143"/>
      <c r="N10" s="143"/>
      <c r="O10" s="143"/>
      <c r="Q10" s="144"/>
      <c r="R10" s="144"/>
      <c r="S10" s="144"/>
      <c r="T10" s="144"/>
      <c r="U10" s="144"/>
      <c r="V10" s="144"/>
      <c r="W10" s="144"/>
      <c r="Y10" s="143"/>
      <c r="Z10" s="143"/>
      <c r="AA10" s="143"/>
      <c r="AB10" s="143"/>
      <c r="AC10" s="143"/>
      <c r="AD10" s="143"/>
      <c r="AE10" s="143"/>
    </row>
    <row r="11" spans="1:31" ht="20.399999999999999" customHeight="1" x14ac:dyDescent="0.3">
      <c r="A11" s="143"/>
      <c r="B11" s="143"/>
      <c r="C11" s="143"/>
      <c r="D11" s="143"/>
      <c r="E11" s="143"/>
      <c r="F11" s="143"/>
      <c r="G11" s="143"/>
      <c r="I11" s="143"/>
      <c r="J11" s="143"/>
      <c r="K11" s="143"/>
      <c r="L11" s="143"/>
      <c r="M11" s="143"/>
      <c r="N11" s="143"/>
      <c r="O11" s="143"/>
      <c r="Q11" s="145" t="s">
        <v>143</v>
      </c>
      <c r="R11" s="145"/>
      <c r="S11" s="145"/>
      <c r="T11" s="145"/>
      <c r="U11" s="145"/>
      <c r="V11" s="145"/>
      <c r="W11" s="145"/>
      <c r="Y11" s="143"/>
      <c r="Z11" s="143"/>
      <c r="AA11" s="143"/>
      <c r="AB11" s="143"/>
      <c r="AC11" s="143"/>
      <c r="AD11" s="143"/>
      <c r="AE11" s="143"/>
    </row>
    <row r="12" spans="1:31" ht="20.399999999999999" customHeight="1" x14ac:dyDescent="0.3">
      <c r="A12" s="143"/>
      <c r="B12" s="143"/>
      <c r="C12" s="143"/>
      <c r="D12" s="143"/>
      <c r="E12" s="143"/>
      <c r="F12" s="143"/>
      <c r="G12" s="143"/>
      <c r="I12" s="143"/>
      <c r="J12" s="143"/>
      <c r="K12" s="143"/>
      <c r="L12" s="143"/>
      <c r="M12" s="143"/>
      <c r="N12" s="143"/>
      <c r="O12" s="143"/>
      <c r="Q12" s="145"/>
      <c r="R12" s="145"/>
      <c r="S12" s="145"/>
      <c r="T12" s="145"/>
      <c r="U12" s="145"/>
      <c r="V12" s="145"/>
      <c r="W12" s="145"/>
      <c r="Y12" s="143"/>
      <c r="Z12" s="143"/>
      <c r="AA12" s="143"/>
      <c r="AB12" s="143"/>
      <c r="AC12" s="143"/>
      <c r="AD12" s="143"/>
      <c r="AE12" s="143"/>
    </row>
    <row r="13" spans="1:31" ht="20.399999999999999" customHeight="1" x14ac:dyDescent="0.3">
      <c r="A13" s="143"/>
      <c r="B13" s="143"/>
      <c r="C13" s="143"/>
      <c r="D13" s="143"/>
      <c r="E13" s="143"/>
      <c r="F13" s="143"/>
      <c r="G13" s="143"/>
      <c r="I13" s="143"/>
      <c r="J13" s="143"/>
      <c r="K13" s="143"/>
      <c r="L13" s="143"/>
      <c r="M13" s="143"/>
      <c r="N13" s="143"/>
      <c r="O13" s="143"/>
      <c r="Q13" s="145"/>
      <c r="R13" s="145"/>
      <c r="S13" s="145"/>
      <c r="T13" s="145"/>
      <c r="U13" s="145"/>
      <c r="V13" s="145"/>
      <c r="W13" s="145"/>
      <c r="Y13" s="143"/>
      <c r="Z13" s="143"/>
      <c r="AA13" s="143"/>
      <c r="AB13" s="143"/>
      <c r="AC13" s="143"/>
      <c r="AD13" s="143"/>
      <c r="AE13" s="143"/>
    </row>
    <row r="14" spans="1:31" ht="20.399999999999999" customHeight="1" x14ac:dyDescent="0.3">
      <c r="A14" s="143"/>
      <c r="B14" s="143"/>
      <c r="C14" s="143"/>
      <c r="D14" s="143"/>
      <c r="E14" s="143"/>
      <c r="F14" s="143"/>
      <c r="G14" s="143"/>
      <c r="I14" s="142" t="s">
        <v>144</v>
      </c>
      <c r="J14" s="142"/>
      <c r="K14" s="142"/>
      <c r="L14" s="142"/>
      <c r="M14" s="142"/>
      <c r="N14" s="142"/>
      <c r="O14" s="142"/>
      <c r="Q14" s="144" t="s">
        <v>145</v>
      </c>
      <c r="R14" s="144"/>
      <c r="S14" s="144"/>
      <c r="T14" s="144"/>
      <c r="U14" s="144"/>
      <c r="V14" s="144"/>
      <c r="W14" s="144"/>
      <c r="Y14" s="143"/>
      <c r="Z14" s="143"/>
      <c r="AA14" s="143"/>
      <c r="AB14" s="143"/>
      <c r="AC14" s="143"/>
      <c r="AD14" s="143"/>
      <c r="AE14" s="143"/>
    </row>
    <row r="15" spans="1:31" ht="20.399999999999999" customHeight="1" x14ac:dyDescent="0.3">
      <c r="A15" s="143"/>
      <c r="B15" s="143"/>
      <c r="C15" s="143"/>
      <c r="D15" s="143"/>
      <c r="E15" s="143"/>
      <c r="F15" s="143"/>
      <c r="G15" s="143"/>
      <c r="I15" s="142"/>
      <c r="J15" s="142"/>
      <c r="K15" s="142"/>
      <c r="L15" s="142"/>
      <c r="M15" s="142"/>
      <c r="N15" s="142"/>
      <c r="O15" s="142"/>
      <c r="Q15" s="144"/>
      <c r="R15" s="144"/>
      <c r="S15" s="144"/>
      <c r="T15" s="144"/>
      <c r="U15" s="144"/>
      <c r="V15" s="144"/>
      <c r="W15" s="144"/>
      <c r="Y15" s="143"/>
      <c r="Z15" s="143"/>
      <c r="AA15" s="143"/>
      <c r="AB15" s="143"/>
      <c r="AC15" s="143"/>
      <c r="AD15" s="143"/>
      <c r="AE15" s="143"/>
    </row>
    <row r="16" spans="1:31" ht="20.399999999999999" customHeight="1" x14ac:dyDescent="0.3">
      <c r="A16" s="143"/>
      <c r="B16" s="143"/>
      <c r="C16" s="143"/>
      <c r="D16" s="143"/>
      <c r="E16" s="143"/>
      <c r="F16" s="143"/>
      <c r="G16" s="143"/>
      <c r="I16" s="143" t="s">
        <v>146</v>
      </c>
      <c r="J16" s="143"/>
      <c r="K16" s="143"/>
      <c r="L16" s="143"/>
      <c r="M16" s="143"/>
      <c r="N16" s="143"/>
      <c r="O16" s="143"/>
      <c r="Q16" s="145" t="s">
        <v>147</v>
      </c>
      <c r="R16" s="145"/>
      <c r="S16" s="145"/>
      <c r="T16" s="145"/>
      <c r="U16" s="145"/>
      <c r="V16" s="145"/>
      <c r="W16" s="145"/>
      <c r="Y16" s="143"/>
      <c r="Z16" s="143"/>
      <c r="AA16" s="143"/>
      <c r="AB16" s="143"/>
      <c r="AC16" s="143"/>
      <c r="AD16" s="143"/>
      <c r="AE16" s="143"/>
    </row>
    <row r="17" spans="1:31" ht="20.399999999999999" customHeight="1" x14ac:dyDescent="0.3">
      <c r="A17" s="143"/>
      <c r="B17" s="143"/>
      <c r="C17" s="143"/>
      <c r="D17" s="143"/>
      <c r="E17" s="143"/>
      <c r="F17" s="143"/>
      <c r="G17" s="143"/>
      <c r="I17" s="143"/>
      <c r="J17" s="143"/>
      <c r="K17" s="143"/>
      <c r="L17" s="143"/>
      <c r="M17" s="143"/>
      <c r="N17" s="143"/>
      <c r="O17" s="143"/>
      <c r="Q17" s="145"/>
      <c r="R17" s="145"/>
      <c r="S17" s="145"/>
      <c r="T17" s="145"/>
      <c r="U17" s="145"/>
      <c r="V17" s="145"/>
      <c r="W17" s="145"/>
      <c r="Y17" s="143"/>
      <c r="Z17" s="143"/>
      <c r="AA17" s="143"/>
      <c r="AB17" s="143"/>
      <c r="AC17" s="143"/>
      <c r="AD17" s="143"/>
      <c r="AE17" s="143"/>
    </row>
    <row r="18" spans="1:31" ht="20.399999999999999" customHeight="1" x14ac:dyDescent="0.3">
      <c r="A18" s="143"/>
      <c r="B18" s="143"/>
      <c r="C18" s="143"/>
      <c r="D18" s="143"/>
      <c r="E18" s="143"/>
      <c r="F18" s="143"/>
      <c r="G18" s="143"/>
      <c r="I18" s="143"/>
      <c r="J18" s="143"/>
      <c r="K18" s="143"/>
      <c r="L18" s="143"/>
      <c r="M18" s="143"/>
      <c r="N18" s="143"/>
      <c r="O18" s="143"/>
      <c r="Q18" s="145"/>
      <c r="R18" s="145"/>
      <c r="S18" s="145"/>
      <c r="T18" s="145"/>
      <c r="U18" s="145"/>
      <c r="V18" s="145"/>
      <c r="W18" s="145"/>
      <c r="Y18" s="143"/>
      <c r="Z18" s="143"/>
      <c r="AA18" s="143"/>
      <c r="AB18" s="143"/>
      <c r="AC18" s="143"/>
      <c r="AD18" s="143"/>
      <c r="AE18" s="143"/>
    </row>
    <row r="19" spans="1:31" ht="20.399999999999999" customHeight="1" x14ac:dyDescent="0.3">
      <c r="A19" s="143"/>
      <c r="B19" s="143"/>
      <c r="C19" s="143"/>
      <c r="D19" s="143"/>
      <c r="E19" s="143"/>
      <c r="F19" s="143"/>
      <c r="G19" s="143"/>
      <c r="I19" s="143"/>
      <c r="J19" s="143"/>
      <c r="K19" s="143"/>
      <c r="L19" s="143"/>
      <c r="M19" s="143"/>
      <c r="N19" s="143"/>
      <c r="O19" s="143"/>
      <c r="Y19" s="143"/>
      <c r="Z19" s="143"/>
      <c r="AA19" s="143"/>
      <c r="AB19" s="143"/>
      <c r="AC19" s="143"/>
      <c r="AD19" s="143"/>
      <c r="AE19" s="143"/>
    </row>
    <row r="20" spans="1:31" ht="20.399999999999999" customHeight="1" x14ac:dyDescent="0.3">
      <c r="A20" s="143"/>
      <c r="B20" s="143"/>
      <c r="C20" s="143"/>
      <c r="D20" s="143"/>
      <c r="E20" s="143"/>
      <c r="F20" s="143"/>
      <c r="G20" s="143"/>
      <c r="I20" s="143"/>
      <c r="J20" s="143"/>
      <c r="K20" s="143"/>
      <c r="L20" s="143"/>
      <c r="M20" s="143"/>
      <c r="N20" s="143"/>
      <c r="O20" s="143"/>
      <c r="Y20" s="143"/>
      <c r="Z20" s="143"/>
      <c r="AA20" s="143"/>
      <c r="AB20" s="143"/>
      <c r="AC20" s="143"/>
      <c r="AD20" s="143"/>
      <c r="AE20" s="143"/>
    </row>
    <row r="21" spans="1:31" ht="20.399999999999999" customHeight="1" x14ac:dyDescent="0.3">
      <c r="A21" s="143"/>
      <c r="B21" s="143"/>
      <c r="C21" s="143"/>
      <c r="D21" s="143"/>
      <c r="E21" s="143"/>
      <c r="F21" s="143"/>
      <c r="G21" s="143"/>
      <c r="I21" s="143"/>
      <c r="J21" s="143"/>
      <c r="K21" s="143"/>
      <c r="L21" s="143"/>
      <c r="M21" s="143"/>
      <c r="N21" s="143"/>
      <c r="O21" s="143"/>
      <c r="Y21" s="143"/>
      <c r="Z21" s="143"/>
      <c r="AA21" s="143"/>
      <c r="AB21" s="143"/>
      <c r="AC21" s="143"/>
      <c r="AD21" s="143"/>
      <c r="AE21" s="143"/>
    </row>
    <row r="22" spans="1:31" ht="20.399999999999999" customHeight="1" x14ac:dyDescent="0.3">
      <c r="A22" s="143"/>
      <c r="B22" s="143"/>
      <c r="C22" s="143"/>
      <c r="D22" s="143"/>
      <c r="E22" s="143"/>
      <c r="F22" s="143"/>
      <c r="G22" s="143"/>
      <c r="I22" s="143"/>
      <c r="J22" s="143"/>
      <c r="K22" s="143"/>
      <c r="L22" s="143"/>
      <c r="M22" s="143"/>
      <c r="N22" s="143"/>
      <c r="O22" s="143"/>
      <c r="Y22" s="143"/>
      <c r="Z22" s="143"/>
      <c r="AA22" s="143"/>
      <c r="AB22" s="143"/>
      <c r="AC22" s="143"/>
      <c r="AD22" s="143"/>
      <c r="AE22" s="143"/>
    </row>
    <row r="23" spans="1:31" ht="20.399999999999999" customHeight="1" x14ac:dyDescent="0.3">
      <c r="A23" s="143"/>
      <c r="B23" s="143"/>
      <c r="C23" s="143"/>
      <c r="D23" s="143"/>
      <c r="E23" s="143"/>
      <c r="F23" s="143"/>
      <c r="G23" s="143"/>
      <c r="I23" s="143"/>
      <c r="J23" s="143"/>
      <c r="K23" s="143"/>
      <c r="L23" s="143"/>
      <c r="M23" s="143"/>
      <c r="N23" s="143"/>
      <c r="O23" s="143"/>
      <c r="Y23" s="143"/>
      <c r="Z23" s="143"/>
      <c r="AA23" s="143"/>
      <c r="AB23" s="143"/>
      <c r="AC23" s="143"/>
      <c r="AD23" s="143"/>
      <c r="AE23" s="143"/>
    </row>
    <row r="24" spans="1:31" ht="20.399999999999999" customHeight="1" x14ac:dyDescent="0.3">
      <c r="A24" s="143"/>
      <c r="B24" s="143"/>
      <c r="C24" s="143"/>
      <c r="D24" s="143"/>
      <c r="E24" s="143"/>
      <c r="F24" s="143"/>
      <c r="G24" s="143"/>
      <c r="I24" s="143"/>
      <c r="J24" s="143"/>
      <c r="K24" s="143"/>
      <c r="L24" s="143"/>
      <c r="M24" s="143"/>
      <c r="N24" s="143"/>
      <c r="O24" s="143"/>
      <c r="Y24" s="143"/>
      <c r="Z24" s="143"/>
      <c r="AA24" s="143"/>
      <c r="AB24" s="143"/>
      <c r="AC24" s="143"/>
      <c r="AD24" s="143"/>
      <c r="AE24" s="143"/>
    </row>
    <row r="25" spans="1:31" ht="20.399999999999999" customHeight="1" x14ac:dyDescent="0.3">
      <c r="A25" s="143"/>
      <c r="B25" s="143"/>
      <c r="C25" s="143"/>
      <c r="D25" s="143"/>
      <c r="E25" s="143"/>
      <c r="F25" s="143"/>
      <c r="G25" s="143"/>
      <c r="I25" s="143"/>
      <c r="J25" s="143"/>
      <c r="K25" s="143"/>
      <c r="L25" s="143"/>
      <c r="M25" s="143"/>
      <c r="N25" s="143"/>
      <c r="O25" s="143"/>
      <c r="U25" s="27"/>
      <c r="V25" s="27"/>
      <c r="W25" s="27"/>
      <c r="Y25" s="143"/>
      <c r="Z25" s="143"/>
      <c r="AA25" s="143"/>
      <c r="AB25" s="143"/>
      <c r="AC25" s="143"/>
      <c r="AD25" s="143"/>
      <c r="AE25" s="143"/>
    </row>
    <row r="26" spans="1:31" ht="20.399999999999999" customHeight="1" x14ac:dyDescent="0.3">
      <c r="I26" s="27"/>
      <c r="J26" s="27"/>
      <c r="K26" s="27"/>
      <c r="L26" s="27"/>
      <c r="M26" s="27"/>
      <c r="N26" s="27"/>
      <c r="O26" s="27"/>
    </row>
  </sheetData>
  <protectedRanges>
    <protectedRange sqref="A3 I3 Q3 A29 Y3" name="区域1"/>
  </protectedRanges>
  <mergeCells count="23">
    <mergeCell ref="A1:G2"/>
    <mergeCell ref="I1:O2"/>
    <mergeCell ref="Q1:W2"/>
    <mergeCell ref="I14:O15"/>
    <mergeCell ref="A3:G25"/>
    <mergeCell ref="I3:O13"/>
    <mergeCell ref="I16:O17"/>
    <mergeCell ref="I18:O19"/>
    <mergeCell ref="I20:O21"/>
    <mergeCell ref="I22:O23"/>
    <mergeCell ref="I24:O25"/>
    <mergeCell ref="Q14:W15"/>
    <mergeCell ref="Q11:W13"/>
    <mergeCell ref="Q16:W18"/>
    <mergeCell ref="Y1:AE2"/>
    <mergeCell ref="Y3:AE25"/>
    <mergeCell ref="Q3:S4"/>
    <mergeCell ref="T3:W4"/>
    <mergeCell ref="Q5:S6"/>
    <mergeCell ref="Q7:S8"/>
    <mergeCell ref="T5:W6"/>
    <mergeCell ref="T7:W8"/>
    <mergeCell ref="Q9:W10"/>
  </mergeCells>
  <phoneticPr fontId="47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3"/>
  <dimension ref="A1:W27"/>
  <sheetViews>
    <sheetView workbookViewId="0">
      <selection activeCell="I4" sqref="I4:O27"/>
    </sheetView>
  </sheetViews>
  <sheetFormatPr defaultColWidth="9" defaultRowHeight="14" x14ac:dyDescent="0.3"/>
  <sheetData>
    <row r="1" spans="1:23" x14ac:dyDescent="0.3">
      <c r="A1" s="146" t="s">
        <v>148</v>
      </c>
      <c r="B1" s="114"/>
      <c r="C1" s="114"/>
      <c r="D1" s="114"/>
      <c r="E1" s="114"/>
      <c r="F1" s="114"/>
      <c r="G1" s="114"/>
      <c r="I1" s="146" t="s">
        <v>149</v>
      </c>
      <c r="J1" s="114"/>
      <c r="K1" s="114"/>
      <c r="L1" s="114"/>
      <c r="M1" s="114"/>
      <c r="N1" s="114"/>
      <c r="O1" s="114"/>
      <c r="Q1" s="146" t="s">
        <v>150</v>
      </c>
      <c r="R1" s="114"/>
      <c r="S1" s="114"/>
      <c r="T1" s="114"/>
      <c r="U1" s="114"/>
      <c r="V1" s="114"/>
      <c r="W1" s="114"/>
    </row>
    <row r="2" spans="1:23" x14ac:dyDescent="0.3">
      <c r="A2" s="114"/>
      <c r="B2" s="114"/>
      <c r="C2" s="114"/>
      <c r="D2" s="114"/>
      <c r="E2" s="114"/>
      <c r="F2" s="114"/>
      <c r="G2" s="114"/>
      <c r="I2" s="114"/>
      <c r="J2" s="114"/>
      <c r="K2" s="114"/>
      <c r="L2" s="114"/>
      <c r="M2" s="114"/>
      <c r="N2" s="114"/>
      <c r="O2" s="114"/>
      <c r="Q2" s="114"/>
      <c r="R2" s="114"/>
      <c r="S2" s="114"/>
      <c r="T2" s="114"/>
      <c r="U2" s="114"/>
      <c r="V2" s="114"/>
      <c r="W2" s="114"/>
    </row>
    <row r="3" spans="1:23" x14ac:dyDescent="0.3">
      <c r="A3" s="114"/>
      <c r="B3" s="114"/>
      <c r="C3" s="114"/>
      <c r="D3" s="114"/>
      <c r="E3" s="114"/>
      <c r="F3" s="114"/>
      <c r="G3" s="114"/>
      <c r="I3" s="114"/>
      <c r="J3" s="114"/>
      <c r="K3" s="114"/>
      <c r="L3" s="114"/>
      <c r="M3" s="114"/>
      <c r="N3" s="114"/>
      <c r="O3" s="114"/>
      <c r="Q3" s="114"/>
      <c r="R3" s="114"/>
      <c r="S3" s="114"/>
      <c r="T3" s="114"/>
      <c r="U3" s="114"/>
      <c r="V3" s="114"/>
      <c r="W3" s="114"/>
    </row>
    <row r="4" spans="1:23" x14ac:dyDescent="0.3">
      <c r="A4" s="143" t="s">
        <v>151</v>
      </c>
      <c r="B4" s="143"/>
      <c r="C4" s="143"/>
      <c r="D4" s="143"/>
      <c r="E4" s="143"/>
      <c r="F4" s="143"/>
      <c r="G4" s="143"/>
      <c r="I4" s="147" t="s">
        <v>362</v>
      </c>
      <c r="J4" s="143"/>
      <c r="K4" s="143"/>
      <c r="L4" s="143"/>
      <c r="M4" s="143"/>
      <c r="N4" s="143"/>
      <c r="O4" s="143"/>
      <c r="Q4" s="143" t="s">
        <v>152</v>
      </c>
      <c r="R4" s="143"/>
      <c r="S4" s="143"/>
      <c r="T4" s="143"/>
      <c r="U4" s="143"/>
      <c r="V4" s="143"/>
      <c r="W4" s="143"/>
    </row>
    <row r="5" spans="1:23" x14ac:dyDescent="0.3">
      <c r="A5" s="143"/>
      <c r="B5" s="143"/>
      <c r="C5" s="143"/>
      <c r="D5" s="143"/>
      <c r="E5" s="143"/>
      <c r="F5" s="143"/>
      <c r="G5" s="143"/>
      <c r="I5" s="143"/>
      <c r="J5" s="143"/>
      <c r="K5" s="143"/>
      <c r="L5" s="143"/>
      <c r="M5" s="143"/>
      <c r="N5" s="143"/>
      <c r="O5" s="143"/>
      <c r="Q5" s="143"/>
      <c r="R5" s="143"/>
      <c r="S5" s="143"/>
      <c r="T5" s="143"/>
      <c r="U5" s="143"/>
      <c r="V5" s="143"/>
      <c r="W5" s="143"/>
    </row>
    <row r="6" spans="1:23" x14ac:dyDescent="0.3">
      <c r="A6" s="143"/>
      <c r="B6" s="143"/>
      <c r="C6" s="143"/>
      <c r="D6" s="143"/>
      <c r="E6" s="143"/>
      <c r="F6" s="143"/>
      <c r="G6" s="143"/>
      <c r="I6" s="143"/>
      <c r="J6" s="143"/>
      <c r="K6" s="143"/>
      <c r="L6" s="143"/>
      <c r="M6" s="143"/>
      <c r="N6" s="143"/>
      <c r="O6" s="143"/>
      <c r="Q6" s="143"/>
      <c r="R6" s="143"/>
      <c r="S6" s="143"/>
      <c r="T6" s="143"/>
      <c r="U6" s="143"/>
      <c r="V6" s="143"/>
      <c r="W6" s="143"/>
    </row>
    <row r="7" spans="1:23" x14ac:dyDescent="0.3">
      <c r="A7" s="143"/>
      <c r="B7" s="143"/>
      <c r="C7" s="143"/>
      <c r="D7" s="143"/>
      <c r="E7" s="143"/>
      <c r="F7" s="143"/>
      <c r="G7" s="143"/>
      <c r="I7" s="143"/>
      <c r="J7" s="143"/>
      <c r="K7" s="143"/>
      <c r="L7" s="143"/>
      <c r="M7" s="143"/>
      <c r="N7" s="143"/>
      <c r="O7" s="143"/>
      <c r="Q7" s="143"/>
      <c r="R7" s="143"/>
      <c r="S7" s="143"/>
      <c r="T7" s="143"/>
      <c r="U7" s="143"/>
      <c r="V7" s="143"/>
      <c r="W7" s="143"/>
    </row>
    <row r="8" spans="1:23" x14ac:dyDescent="0.3">
      <c r="A8" s="143"/>
      <c r="B8" s="143"/>
      <c r="C8" s="143"/>
      <c r="D8" s="143"/>
      <c r="E8" s="143"/>
      <c r="F8" s="143"/>
      <c r="G8" s="143"/>
      <c r="I8" s="143"/>
      <c r="J8" s="143"/>
      <c r="K8" s="143"/>
      <c r="L8" s="143"/>
      <c r="M8" s="143"/>
      <c r="N8" s="143"/>
      <c r="O8" s="143"/>
      <c r="Q8" s="143"/>
      <c r="R8" s="143"/>
      <c r="S8" s="143"/>
      <c r="T8" s="143"/>
      <c r="U8" s="143"/>
      <c r="V8" s="143"/>
      <c r="W8" s="143"/>
    </row>
    <row r="9" spans="1:23" x14ac:dyDescent="0.3">
      <c r="A9" s="143"/>
      <c r="B9" s="143"/>
      <c r="C9" s="143"/>
      <c r="D9" s="143"/>
      <c r="E9" s="143"/>
      <c r="F9" s="143"/>
      <c r="G9" s="143"/>
      <c r="I9" s="143"/>
      <c r="J9" s="143"/>
      <c r="K9" s="143"/>
      <c r="L9" s="143"/>
      <c r="M9" s="143"/>
      <c r="N9" s="143"/>
      <c r="O9" s="143"/>
      <c r="Q9" s="143"/>
      <c r="R9" s="143"/>
      <c r="S9" s="143"/>
      <c r="T9" s="143"/>
      <c r="U9" s="143"/>
      <c r="V9" s="143"/>
      <c r="W9" s="143"/>
    </row>
    <row r="10" spans="1:23" x14ac:dyDescent="0.3">
      <c r="A10" s="143"/>
      <c r="B10" s="143"/>
      <c r="C10" s="143"/>
      <c r="D10" s="143"/>
      <c r="E10" s="143"/>
      <c r="F10" s="143"/>
      <c r="G10" s="143"/>
      <c r="I10" s="143"/>
      <c r="J10" s="143"/>
      <c r="K10" s="143"/>
      <c r="L10" s="143"/>
      <c r="M10" s="143"/>
      <c r="N10" s="143"/>
      <c r="O10" s="143"/>
      <c r="Q10" s="143"/>
      <c r="R10" s="143"/>
      <c r="S10" s="143"/>
      <c r="T10" s="143"/>
      <c r="U10" s="143"/>
      <c r="V10" s="143"/>
      <c r="W10" s="143"/>
    </row>
    <row r="11" spans="1:23" x14ac:dyDescent="0.3">
      <c r="A11" s="143"/>
      <c r="B11" s="143"/>
      <c r="C11" s="143"/>
      <c r="D11" s="143"/>
      <c r="E11" s="143"/>
      <c r="F11" s="143"/>
      <c r="G11" s="143"/>
      <c r="I11" s="143"/>
      <c r="J11" s="143"/>
      <c r="K11" s="143"/>
      <c r="L11" s="143"/>
      <c r="M11" s="143"/>
      <c r="N11" s="143"/>
      <c r="O11" s="143"/>
      <c r="Q11" s="143"/>
      <c r="R11" s="143"/>
      <c r="S11" s="143"/>
      <c r="T11" s="143"/>
      <c r="U11" s="143"/>
      <c r="V11" s="143"/>
      <c r="W11" s="143"/>
    </row>
    <row r="12" spans="1:23" x14ac:dyDescent="0.3">
      <c r="A12" s="143"/>
      <c r="B12" s="143"/>
      <c r="C12" s="143"/>
      <c r="D12" s="143"/>
      <c r="E12" s="143"/>
      <c r="F12" s="143"/>
      <c r="G12" s="143"/>
      <c r="I12" s="143"/>
      <c r="J12" s="143"/>
      <c r="K12" s="143"/>
      <c r="L12" s="143"/>
      <c r="M12" s="143"/>
      <c r="N12" s="143"/>
      <c r="O12" s="143"/>
      <c r="Q12" s="143"/>
      <c r="R12" s="143"/>
      <c r="S12" s="143"/>
      <c r="T12" s="143"/>
      <c r="U12" s="143"/>
      <c r="V12" s="143"/>
      <c r="W12" s="143"/>
    </row>
    <row r="13" spans="1:23" x14ac:dyDescent="0.3">
      <c r="A13" s="143"/>
      <c r="B13" s="143"/>
      <c r="C13" s="143"/>
      <c r="D13" s="143"/>
      <c r="E13" s="143"/>
      <c r="F13" s="143"/>
      <c r="G13" s="143"/>
      <c r="I13" s="143"/>
      <c r="J13" s="143"/>
      <c r="K13" s="143"/>
      <c r="L13" s="143"/>
      <c r="M13" s="143"/>
      <c r="N13" s="143"/>
      <c r="O13" s="143"/>
      <c r="Q13" s="143"/>
      <c r="R13" s="143"/>
      <c r="S13" s="143"/>
      <c r="T13" s="143"/>
      <c r="U13" s="143"/>
      <c r="V13" s="143"/>
      <c r="W13" s="143"/>
    </row>
    <row r="14" spans="1:23" x14ac:dyDescent="0.3">
      <c r="A14" s="143"/>
      <c r="B14" s="143"/>
      <c r="C14" s="143"/>
      <c r="D14" s="143"/>
      <c r="E14" s="143"/>
      <c r="F14" s="143"/>
      <c r="G14" s="143"/>
      <c r="I14" s="143"/>
      <c r="J14" s="143"/>
      <c r="K14" s="143"/>
      <c r="L14" s="143"/>
      <c r="M14" s="143"/>
      <c r="N14" s="143"/>
      <c r="O14" s="143"/>
      <c r="Q14" s="143"/>
      <c r="R14" s="143"/>
      <c r="S14" s="143"/>
      <c r="T14" s="143"/>
      <c r="U14" s="143"/>
      <c r="V14" s="143"/>
      <c r="W14" s="143"/>
    </row>
    <row r="15" spans="1:23" x14ac:dyDescent="0.3">
      <c r="A15" s="143"/>
      <c r="B15" s="143"/>
      <c r="C15" s="143"/>
      <c r="D15" s="143"/>
      <c r="E15" s="143"/>
      <c r="F15" s="143"/>
      <c r="G15" s="143"/>
      <c r="I15" s="143"/>
      <c r="J15" s="143"/>
      <c r="K15" s="143"/>
      <c r="L15" s="143"/>
      <c r="M15" s="143"/>
      <c r="N15" s="143"/>
      <c r="O15" s="143"/>
      <c r="Q15" s="143"/>
      <c r="R15" s="143"/>
      <c r="S15" s="143"/>
      <c r="T15" s="143"/>
      <c r="U15" s="143"/>
      <c r="V15" s="143"/>
      <c r="W15" s="143"/>
    </row>
    <row r="16" spans="1:23" x14ac:dyDescent="0.3">
      <c r="A16" s="143"/>
      <c r="B16" s="143"/>
      <c r="C16" s="143"/>
      <c r="D16" s="143"/>
      <c r="E16" s="143"/>
      <c r="F16" s="143"/>
      <c r="G16" s="143"/>
      <c r="I16" s="143"/>
      <c r="J16" s="143"/>
      <c r="K16" s="143"/>
      <c r="L16" s="143"/>
      <c r="M16" s="143"/>
      <c r="N16" s="143"/>
      <c r="O16" s="143"/>
      <c r="Q16" s="143"/>
      <c r="R16" s="143"/>
      <c r="S16" s="143"/>
      <c r="T16" s="143"/>
      <c r="U16" s="143"/>
      <c r="V16" s="143"/>
      <c r="W16" s="143"/>
    </row>
    <row r="17" spans="1:23" x14ac:dyDescent="0.3">
      <c r="A17" s="143"/>
      <c r="B17" s="143"/>
      <c r="C17" s="143"/>
      <c r="D17" s="143"/>
      <c r="E17" s="143"/>
      <c r="F17" s="143"/>
      <c r="G17" s="143"/>
      <c r="I17" s="143"/>
      <c r="J17" s="143"/>
      <c r="K17" s="143"/>
      <c r="L17" s="143"/>
      <c r="M17" s="143"/>
      <c r="N17" s="143"/>
      <c r="O17" s="143"/>
      <c r="Q17" s="143"/>
      <c r="R17" s="143"/>
      <c r="S17" s="143"/>
      <c r="T17" s="143"/>
      <c r="U17" s="143"/>
      <c r="V17" s="143"/>
      <c r="W17" s="143"/>
    </row>
    <row r="18" spans="1:23" x14ac:dyDescent="0.3">
      <c r="A18" s="143"/>
      <c r="B18" s="143"/>
      <c r="C18" s="143"/>
      <c r="D18" s="143"/>
      <c r="E18" s="143"/>
      <c r="F18" s="143"/>
      <c r="G18" s="143"/>
      <c r="I18" s="143"/>
      <c r="J18" s="143"/>
      <c r="K18" s="143"/>
      <c r="L18" s="143"/>
      <c r="M18" s="143"/>
      <c r="N18" s="143"/>
      <c r="O18" s="143"/>
      <c r="Q18" s="143"/>
      <c r="R18" s="143"/>
      <c r="S18" s="143"/>
      <c r="T18" s="143"/>
      <c r="U18" s="143"/>
      <c r="V18" s="143"/>
      <c r="W18" s="143"/>
    </row>
    <row r="19" spans="1:23" x14ac:dyDescent="0.3">
      <c r="A19" s="143"/>
      <c r="B19" s="143"/>
      <c r="C19" s="143"/>
      <c r="D19" s="143"/>
      <c r="E19" s="143"/>
      <c r="F19" s="143"/>
      <c r="G19" s="143"/>
      <c r="I19" s="143"/>
      <c r="J19" s="143"/>
      <c r="K19" s="143"/>
      <c r="L19" s="143"/>
      <c r="M19" s="143"/>
      <c r="N19" s="143"/>
      <c r="O19" s="143"/>
      <c r="Q19" s="143"/>
      <c r="R19" s="143"/>
      <c r="S19" s="143"/>
      <c r="T19" s="143"/>
      <c r="U19" s="143"/>
      <c r="V19" s="143"/>
      <c r="W19" s="143"/>
    </row>
    <row r="20" spans="1:23" x14ac:dyDescent="0.3">
      <c r="A20" s="143"/>
      <c r="B20" s="143"/>
      <c r="C20" s="143"/>
      <c r="D20" s="143"/>
      <c r="E20" s="143"/>
      <c r="F20" s="143"/>
      <c r="G20" s="143"/>
      <c r="I20" s="143"/>
      <c r="J20" s="143"/>
      <c r="K20" s="143"/>
      <c r="L20" s="143"/>
      <c r="M20" s="143"/>
      <c r="N20" s="143"/>
      <c r="O20" s="143"/>
      <c r="Q20" s="143"/>
      <c r="R20" s="143"/>
      <c r="S20" s="143"/>
      <c r="T20" s="143"/>
      <c r="U20" s="143"/>
      <c r="V20" s="143"/>
      <c r="W20" s="143"/>
    </row>
    <row r="21" spans="1:23" x14ac:dyDescent="0.3">
      <c r="A21" s="143"/>
      <c r="B21" s="143"/>
      <c r="C21" s="143"/>
      <c r="D21" s="143"/>
      <c r="E21" s="143"/>
      <c r="F21" s="143"/>
      <c r="G21" s="143"/>
      <c r="I21" s="143"/>
      <c r="J21" s="143"/>
      <c r="K21" s="143"/>
      <c r="L21" s="143"/>
      <c r="M21" s="143"/>
      <c r="N21" s="143"/>
      <c r="O21" s="143"/>
      <c r="Q21" s="143"/>
      <c r="R21" s="143"/>
      <c r="S21" s="143"/>
      <c r="T21" s="143"/>
      <c r="U21" s="143"/>
      <c r="V21" s="143"/>
      <c r="W21" s="143"/>
    </row>
    <row r="22" spans="1:23" x14ac:dyDescent="0.3">
      <c r="A22" s="143"/>
      <c r="B22" s="143"/>
      <c r="C22" s="143"/>
      <c r="D22" s="143"/>
      <c r="E22" s="143"/>
      <c r="F22" s="143"/>
      <c r="G22" s="143"/>
      <c r="I22" s="143"/>
      <c r="J22" s="143"/>
      <c r="K22" s="143"/>
      <c r="L22" s="143"/>
      <c r="M22" s="143"/>
      <c r="N22" s="143"/>
      <c r="O22" s="143"/>
      <c r="Q22" s="143"/>
      <c r="R22" s="143"/>
      <c r="S22" s="143"/>
      <c r="T22" s="143"/>
      <c r="U22" s="143"/>
      <c r="V22" s="143"/>
      <c r="W22" s="143"/>
    </row>
    <row r="23" spans="1:23" x14ac:dyDescent="0.3">
      <c r="A23" s="143"/>
      <c r="B23" s="143"/>
      <c r="C23" s="143"/>
      <c r="D23" s="143"/>
      <c r="E23" s="143"/>
      <c r="F23" s="143"/>
      <c r="G23" s="143"/>
      <c r="I23" s="143"/>
      <c r="J23" s="143"/>
      <c r="K23" s="143"/>
      <c r="L23" s="143"/>
      <c r="M23" s="143"/>
      <c r="N23" s="143"/>
      <c r="O23" s="143"/>
      <c r="Q23" s="143"/>
      <c r="R23" s="143"/>
      <c r="S23" s="143"/>
      <c r="T23" s="143"/>
      <c r="U23" s="143"/>
      <c r="V23" s="143"/>
      <c r="W23" s="143"/>
    </row>
    <row r="24" spans="1:23" x14ac:dyDescent="0.3">
      <c r="A24" s="143"/>
      <c r="B24" s="143"/>
      <c r="C24" s="143"/>
      <c r="D24" s="143"/>
      <c r="E24" s="143"/>
      <c r="F24" s="143"/>
      <c r="G24" s="143"/>
      <c r="I24" s="143"/>
      <c r="J24" s="143"/>
      <c r="K24" s="143"/>
      <c r="L24" s="143"/>
      <c r="M24" s="143"/>
      <c r="N24" s="143"/>
      <c r="O24" s="143"/>
      <c r="Q24" s="143"/>
      <c r="R24" s="143"/>
      <c r="S24" s="143"/>
      <c r="T24" s="143"/>
      <c r="U24" s="143"/>
      <c r="V24" s="143"/>
      <c r="W24" s="143"/>
    </row>
    <row r="25" spans="1:23" x14ac:dyDescent="0.3">
      <c r="A25" s="143"/>
      <c r="B25" s="143"/>
      <c r="C25" s="143"/>
      <c r="D25" s="143"/>
      <c r="E25" s="143"/>
      <c r="F25" s="143"/>
      <c r="G25" s="143"/>
      <c r="I25" s="143"/>
      <c r="J25" s="143"/>
      <c r="K25" s="143"/>
      <c r="L25" s="143"/>
      <c r="M25" s="143"/>
      <c r="N25" s="143"/>
      <c r="O25" s="143"/>
      <c r="Q25" s="143"/>
      <c r="R25" s="143"/>
      <c r="S25" s="143"/>
      <c r="T25" s="143"/>
      <c r="U25" s="143"/>
      <c r="V25" s="143"/>
      <c r="W25" s="143"/>
    </row>
    <row r="26" spans="1:23" x14ac:dyDescent="0.3">
      <c r="A26" s="143"/>
      <c r="B26" s="143"/>
      <c r="C26" s="143"/>
      <c r="D26" s="143"/>
      <c r="E26" s="143"/>
      <c r="F26" s="143"/>
      <c r="G26" s="143"/>
      <c r="I26" s="143"/>
      <c r="J26" s="143"/>
      <c r="K26" s="143"/>
      <c r="L26" s="143"/>
      <c r="M26" s="143"/>
      <c r="N26" s="143"/>
      <c r="O26" s="143"/>
      <c r="Q26" s="143"/>
      <c r="R26" s="143"/>
      <c r="S26" s="143"/>
      <c r="T26" s="143"/>
      <c r="U26" s="143"/>
      <c r="V26" s="143"/>
      <c r="W26" s="143"/>
    </row>
    <row r="27" spans="1:23" x14ac:dyDescent="0.3">
      <c r="A27" s="143"/>
      <c r="B27" s="143"/>
      <c r="C27" s="143"/>
      <c r="D27" s="143"/>
      <c r="E27" s="143"/>
      <c r="F27" s="143"/>
      <c r="G27" s="143"/>
      <c r="I27" s="143"/>
      <c r="J27" s="143"/>
      <c r="K27" s="143"/>
      <c r="L27" s="143"/>
      <c r="M27" s="143"/>
      <c r="N27" s="143"/>
      <c r="O27" s="143"/>
      <c r="Q27" s="143"/>
      <c r="R27" s="143"/>
      <c r="S27" s="143"/>
      <c r="T27" s="143"/>
      <c r="U27" s="143"/>
      <c r="V27" s="143"/>
      <c r="W27" s="143"/>
    </row>
  </sheetData>
  <mergeCells count="6">
    <mergeCell ref="A1:G3"/>
    <mergeCell ref="I1:O3"/>
    <mergeCell ref="Q1:W3"/>
    <mergeCell ref="A4:G27"/>
    <mergeCell ref="I4:O27"/>
    <mergeCell ref="Q4:W27"/>
  </mergeCells>
  <phoneticPr fontId="47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4"/>
  <dimension ref="A1:W20"/>
  <sheetViews>
    <sheetView workbookViewId="0">
      <selection activeCell="M13" sqref="M13:T16"/>
    </sheetView>
  </sheetViews>
  <sheetFormatPr defaultColWidth="9" defaultRowHeight="14" x14ac:dyDescent="0.3"/>
  <sheetData>
    <row r="1" spans="1:23" ht="20.399999999999999" customHeight="1" x14ac:dyDescent="0.3">
      <c r="A1" s="159" t="s">
        <v>153</v>
      </c>
      <c r="B1" s="159"/>
      <c r="C1" s="159"/>
      <c r="D1" s="159"/>
      <c r="E1" s="159"/>
      <c r="F1" s="159"/>
      <c r="G1" s="159"/>
      <c r="H1" s="159"/>
      <c r="I1" s="159"/>
      <c r="J1" s="159"/>
      <c r="K1" s="159"/>
      <c r="L1" s="148" t="s">
        <v>154</v>
      </c>
      <c r="M1" s="149"/>
      <c r="N1" s="149"/>
      <c r="O1" s="149"/>
      <c r="P1" s="149"/>
      <c r="Q1" s="149"/>
      <c r="R1" s="150"/>
      <c r="S1" s="154" t="s">
        <v>106</v>
      </c>
      <c r="T1" s="155"/>
    </row>
    <row r="2" spans="1:23" ht="20.399999999999999" customHeight="1" x14ac:dyDescent="0.3">
      <c r="A2" s="159"/>
      <c r="B2" s="159"/>
      <c r="C2" s="159"/>
      <c r="D2" s="159"/>
      <c r="E2" s="159"/>
      <c r="F2" s="159"/>
      <c r="G2" s="159"/>
      <c r="H2" s="159"/>
      <c r="I2" s="159"/>
      <c r="J2" s="159"/>
      <c r="K2" s="159"/>
      <c r="L2" s="151"/>
      <c r="M2" s="152"/>
      <c r="N2" s="152"/>
      <c r="O2" s="152"/>
      <c r="P2" s="152"/>
      <c r="Q2" s="152"/>
      <c r="R2" s="153"/>
      <c r="S2" s="156"/>
      <c r="T2" s="157"/>
    </row>
    <row r="3" spans="1:23" ht="20.399999999999999" customHeight="1" x14ac:dyDescent="0.3">
      <c r="A3" s="160" t="s">
        <v>155</v>
      </c>
      <c r="B3" s="160"/>
      <c r="C3" s="1" t="s">
        <v>156</v>
      </c>
      <c r="D3" s="178">
        <v>1</v>
      </c>
      <c r="E3" s="178"/>
      <c r="F3" s="1" t="s">
        <v>157</v>
      </c>
      <c r="G3" s="178" t="s">
        <v>63</v>
      </c>
      <c r="H3" s="178"/>
      <c r="I3" s="1" t="s">
        <v>158</v>
      </c>
      <c r="J3" s="178" t="s">
        <v>84</v>
      </c>
      <c r="K3" s="178"/>
      <c r="N3" s="175" t="s">
        <v>159</v>
      </c>
      <c r="O3" s="176"/>
      <c r="P3" s="176"/>
      <c r="Q3" s="176"/>
      <c r="R3" s="176"/>
      <c r="S3" s="177"/>
    </row>
    <row r="4" spans="1:23" ht="20.399999999999999" customHeight="1" x14ac:dyDescent="0.3">
      <c r="A4" s="160"/>
      <c r="B4" s="160"/>
      <c r="C4" s="1" t="s">
        <v>160</v>
      </c>
      <c r="D4" s="178" t="s">
        <v>11</v>
      </c>
      <c r="E4" s="178"/>
      <c r="F4" s="1" t="s">
        <v>161</v>
      </c>
      <c r="G4" s="178">
        <v>25</v>
      </c>
      <c r="H4" s="178"/>
      <c r="I4" s="1" t="s">
        <v>162</v>
      </c>
      <c r="J4" s="178" t="s">
        <v>163</v>
      </c>
      <c r="K4" s="178"/>
      <c r="N4" s="1" t="s">
        <v>164</v>
      </c>
      <c r="O4" s="1" t="s">
        <v>165</v>
      </c>
      <c r="P4" s="1" t="s">
        <v>166</v>
      </c>
      <c r="Q4" s="1" t="s">
        <v>167</v>
      </c>
      <c r="R4" s="1" t="s">
        <v>168</v>
      </c>
      <c r="S4" s="1" t="s">
        <v>169</v>
      </c>
      <c r="W4" s="21"/>
    </row>
    <row r="5" spans="1:23" ht="20.399999999999999" customHeight="1" x14ac:dyDescent="0.3">
      <c r="A5" s="160"/>
      <c r="B5" s="160"/>
      <c r="C5" s="1" t="s">
        <v>170</v>
      </c>
      <c r="D5" s="178">
        <v>3</v>
      </c>
      <c r="E5" s="178"/>
      <c r="F5" s="1" t="s">
        <v>64</v>
      </c>
      <c r="G5" s="178">
        <v>8</v>
      </c>
      <c r="H5" s="178"/>
      <c r="I5" s="1" t="s">
        <v>171</v>
      </c>
      <c r="J5" s="178">
        <f t="array" aca="1" ref="J5" ca="1">ROUNDDOWN((20/144)*POWER(((INDIRECT("总表"&amp;"!K3")-G4)/5-12),2)+10,0)</f>
        <v>16</v>
      </c>
      <c r="K5" s="178"/>
      <c r="N5" s="2"/>
      <c r="O5" s="2"/>
      <c r="P5" s="2"/>
      <c r="Q5" s="2"/>
      <c r="R5" s="2"/>
      <c r="S5" s="2"/>
    </row>
    <row r="6" spans="1:23" ht="20.399999999999999" customHeight="1" x14ac:dyDescent="0.3">
      <c r="A6" s="160"/>
      <c r="B6" s="160"/>
      <c r="C6" s="170" t="s">
        <v>172</v>
      </c>
      <c r="D6" s="169" t="s">
        <v>363</v>
      </c>
      <c r="E6" s="158"/>
      <c r="F6" s="158"/>
      <c r="G6" s="158"/>
      <c r="H6" s="158"/>
      <c r="I6" s="158"/>
      <c r="J6" s="158"/>
      <c r="K6" s="158"/>
      <c r="L6" s="172" t="s">
        <v>173</v>
      </c>
      <c r="M6" s="161" t="s">
        <v>174</v>
      </c>
      <c r="N6" s="162"/>
      <c r="O6" s="162"/>
      <c r="P6" s="162"/>
      <c r="Q6" s="162"/>
      <c r="R6" s="162"/>
      <c r="S6" s="162"/>
      <c r="T6" s="163"/>
    </row>
    <row r="7" spans="1:23" ht="20.399999999999999" customHeight="1" x14ac:dyDescent="0.3">
      <c r="A7" s="160"/>
      <c r="B7" s="160"/>
      <c r="C7" s="170"/>
      <c r="D7" s="158"/>
      <c r="E7" s="158"/>
      <c r="F7" s="158"/>
      <c r="G7" s="158"/>
      <c r="H7" s="158"/>
      <c r="I7" s="158"/>
      <c r="J7" s="158"/>
      <c r="K7" s="158"/>
      <c r="L7" s="173"/>
      <c r="M7" s="164"/>
      <c r="N7" s="145"/>
      <c r="O7" s="145"/>
      <c r="P7" s="145"/>
      <c r="Q7" s="145"/>
      <c r="R7" s="145"/>
      <c r="S7" s="145"/>
      <c r="T7" s="165"/>
    </row>
    <row r="8" spans="1:23" ht="20.399999999999999" customHeight="1" x14ac:dyDescent="0.3">
      <c r="A8" s="160"/>
      <c r="B8" s="160"/>
      <c r="C8" s="171" t="s">
        <v>175</v>
      </c>
      <c r="D8" s="158" t="s">
        <v>176</v>
      </c>
      <c r="E8" s="158"/>
      <c r="F8" s="158"/>
      <c r="G8" s="158"/>
      <c r="H8" s="158"/>
      <c r="I8" s="158"/>
      <c r="J8" s="158"/>
      <c r="K8" s="158"/>
      <c r="L8" s="173"/>
      <c r="M8" s="164"/>
      <c r="N8" s="145"/>
      <c r="O8" s="145"/>
      <c r="P8" s="145"/>
      <c r="Q8" s="145"/>
      <c r="R8" s="145"/>
      <c r="S8" s="145"/>
      <c r="T8" s="165"/>
    </row>
    <row r="9" spans="1:23" ht="20.399999999999999" customHeight="1" x14ac:dyDescent="0.3">
      <c r="A9" s="160"/>
      <c r="B9" s="160"/>
      <c r="C9" s="171"/>
      <c r="D9" s="158"/>
      <c r="E9" s="158"/>
      <c r="F9" s="158"/>
      <c r="G9" s="158"/>
      <c r="H9" s="158"/>
      <c r="I9" s="158"/>
      <c r="J9" s="158"/>
      <c r="K9" s="158"/>
      <c r="L9" s="174"/>
      <c r="M9" s="166"/>
      <c r="N9" s="167"/>
      <c r="O9" s="167"/>
      <c r="P9" s="167"/>
      <c r="Q9" s="167"/>
      <c r="R9" s="167"/>
      <c r="S9" s="167"/>
      <c r="T9" s="168"/>
    </row>
    <row r="10" spans="1:23" ht="20.399999999999999" customHeight="1" x14ac:dyDescent="0.3">
      <c r="A10" s="160" t="s">
        <v>177</v>
      </c>
      <c r="B10" s="160"/>
      <c r="C10" s="1" t="s">
        <v>156</v>
      </c>
      <c r="D10" s="178">
        <v>1</v>
      </c>
      <c r="E10" s="178"/>
      <c r="F10" s="1" t="s">
        <v>157</v>
      </c>
      <c r="G10" s="178" t="s">
        <v>178</v>
      </c>
      <c r="H10" s="178"/>
      <c r="I10" s="1" t="s">
        <v>158</v>
      </c>
      <c r="J10" s="178" t="s">
        <v>179</v>
      </c>
      <c r="K10" s="178"/>
      <c r="N10" s="175" t="s">
        <v>159</v>
      </c>
      <c r="O10" s="176"/>
      <c r="P10" s="176"/>
      <c r="Q10" s="176"/>
      <c r="R10" s="176"/>
      <c r="S10" s="177"/>
    </row>
    <row r="11" spans="1:23" ht="20.399999999999999" customHeight="1" x14ac:dyDescent="0.3">
      <c r="A11" s="160"/>
      <c r="B11" s="160"/>
      <c r="C11" s="1" t="s">
        <v>160</v>
      </c>
      <c r="D11" s="178" t="s">
        <v>11</v>
      </c>
      <c r="E11" s="178"/>
      <c r="F11" s="1" t="s">
        <v>161</v>
      </c>
      <c r="G11" s="178">
        <v>35</v>
      </c>
      <c r="H11" s="178"/>
      <c r="I11" s="1" t="s">
        <v>162</v>
      </c>
      <c r="J11" s="178" t="s">
        <v>179</v>
      </c>
      <c r="K11" s="178"/>
      <c r="N11" s="1" t="s">
        <v>164</v>
      </c>
      <c r="O11" s="1" t="s">
        <v>165</v>
      </c>
      <c r="P11" s="1" t="s">
        <v>166</v>
      </c>
      <c r="Q11" s="1" t="s">
        <v>167</v>
      </c>
      <c r="R11" s="1" t="s">
        <v>168</v>
      </c>
      <c r="S11" s="1" t="s">
        <v>169</v>
      </c>
    </row>
    <row r="12" spans="1:23" ht="20.399999999999999" customHeight="1" x14ac:dyDescent="0.3">
      <c r="A12" s="160"/>
      <c r="B12" s="160"/>
      <c r="C12" s="1" t="s">
        <v>170</v>
      </c>
      <c r="D12" s="178" t="s">
        <v>180</v>
      </c>
      <c r="E12" s="178"/>
      <c r="F12" s="1" t="s">
        <v>64</v>
      </c>
      <c r="G12" s="178">
        <v>9</v>
      </c>
      <c r="H12" s="178"/>
      <c r="I12" s="1" t="s">
        <v>171</v>
      </c>
      <c r="J12" s="178">
        <f t="array" aca="1" ref="J12" ca="1">ROUNDDOWN((20/144)*POWER(((INDIRECT("总表"&amp;"!K3")-G11)/5-12),2)+10,0)</f>
        <v>21</v>
      </c>
      <c r="K12" s="178"/>
      <c r="N12" s="2">
        <v>2</v>
      </c>
      <c r="O12" s="2"/>
      <c r="P12" s="2"/>
      <c r="Q12" s="2"/>
      <c r="R12" s="2"/>
      <c r="S12" s="2"/>
      <c r="W12" s="9"/>
    </row>
    <row r="13" spans="1:23" ht="20.399999999999999" customHeight="1" x14ac:dyDescent="0.3">
      <c r="A13" s="160"/>
      <c r="B13" s="160"/>
      <c r="C13" s="170" t="s">
        <v>172</v>
      </c>
      <c r="D13" s="158" t="s">
        <v>181</v>
      </c>
      <c r="E13" s="158"/>
      <c r="F13" s="158"/>
      <c r="G13" s="158"/>
      <c r="H13" s="158"/>
      <c r="I13" s="158"/>
      <c r="J13" s="158"/>
      <c r="K13" s="158"/>
      <c r="L13" s="172" t="s">
        <v>173</v>
      </c>
      <c r="M13" s="161" t="s">
        <v>174</v>
      </c>
      <c r="N13" s="162"/>
      <c r="O13" s="162"/>
      <c r="P13" s="162"/>
      <c r="Q13" s="162"/>
      <c r="R13" s="162"/>
      <c r="S13" s="162"/>
      <c r="T13" s="163"/>
    </row>
    <row r="14" spans="1:23" ht="20.399999999999999" customHeight="1" x14ac:dyDescent="0.3">
      <c r="A14" s="160"/>
      <c r="B14" s="160"/>
      <c r="C14" s="170"/>
      <c r="D14" s="158"/>
      <c r="E14" s="158"/>
      <c r="F14" s="158"/>
      <c r="G14" s="158"/>
      <c r="H14" s="158"/>
      <c r="I14" s="158"/>
      <c r="J14" s="158"/>
      <c r="K14" s="158"/>
      <c r="L14" s="173"/>
      <c r="M14" s="164"/>
      <c r="N14" s="145"/>
      <c r="O14" s="145"/>
      <c r="P14" s="145"/>
      <c r="Q14" s="145"/>
      <c r="R14" s="145"/>
      <c r="S14" s="145"/>
      <c r="T14" s="165"/>
    </row>
    <row r="15" spans="1:23" ht="20.399999999999999" customHeight="1" x14ac:dyDescent="0.3">
      <c r="A15" s="160"/>
      <c r="B15" s="160"/>
      <c r="C15" s="171" t="s">
        <v>175</v>
      </c>
      <c r="D15" s="158" t="s">
        <v>182</v>
      </c>
      <c r="E15" s="158"/>
      <c r="F15" s="158"/>
      <c r="G15" s="158"/>
      <c r="H15" s="158"/>
      <c r="I15" s="158"/>
      <c r="J15" s="158"/>
      <c r="K15" s="158"/>
      <c r="L15" s="173"/>
      <c r="M15" s="164"/>
      <c r="N15" s="145"/>
      <c r="O15" s="145"/>
      <c r="P15" s="145"/>
      <c r="Q15" s="145"/>
      <c r="R15" s="145"/>
      <c r="S15" s="145"/>
      <c r="T15" s="165"/>
    </row>
    <row r="16" spans="1:23" ht="20.399999999999999" customHeight="1" x14ac:dyDescent="0.3">
      <c r="A16" s="160"/>
      <c r="B16" s="160"/>
      <c r="C16" s="171"/>
      <c r="D16" s="158"/>
      <c r="E16" s="158"/>
      <c r="F16" s="158"/>
      <c r="G16" s="158"/>
      <c r="H16" s="158"/>
      <c r="I16" s="158"/>
      <c r="J16" s="158"/>
      <c r="K16" s="158"/>
      <c r="L16" s="174"/>
      <c r="M16" s="166"/>
      <c r="N16" s="167"/>
      <c r="O16" s="167"/>
      <c r="P16" s="167"/>
      <c r="Q16" s="167"/>
      <c r="R16" s="167"/>
      <c r="S16" s="167"/>
      <c r="T16" s="168"/>
    </row>
    <row r="17" spans="1:1" ht="20.399999999999999" customHeight="1" x14ac:dyDescent="0.3"/>
    <row r="18" spans="1:1" ht="20.399999999999999" customHeight="1" x14ac:dyDescent="0.3"/>
    <row r="19" spans="1:1" ht="20.399999999999999" customHeight="1" x14ac:dyDescent="0.3">
      <c r="A19" t="str">
        <f>G3</f>
        <v>近藤镇教</v>
      </c>
    </row>
    <row r="20" spans="1:1" ht="20.399999999999999" customHeight="1" x14ac:dyDescent="0.3">
      <c r="A20" t="str">
        <f>G10</f>
        <v>螺旋号</v>
      </c>
    </row>
  </sheetData>
  <protectedRanges>
    <protectedRange sqref="W6 K16 U16:V16 W10 L12:M12 T12:V12 K8:M8 P8:W8 L4:M4 T4:W4 L15:M15 P15:T15" name="防具区域"/>
    <protectedRange sqref="D3:D6 D8 D10:D13 D15 J3:J5 G3:G5 J10:J12 G10:G12" name="武器区域_1"/>
    <protectedRange sqref="N5:S5" name="防具区域_3"/>
    <protectedRange sqref="N12:S12" name="防具区域_4"/>
  </protectedRanges>
  <mergeCells count="37">
    <mergeCell ref="D3:E3"/>
    <mergeCell ref="G3:H3"/>
    <mergeCell ref="J3:K3"/>
    <mergeCell ref="N3:S3"/>
    <mergeCell ref="D4:E4"/>
    <mergeCell ref="G4:H4"/>
    <mergeCell ref="J4:K4"/>
    <mergeCell ref="D5:E5"/>
    <mergeCell ref="G5:H5"/>
    <mergeCell ref="J5:K5"/>
    <mergeCell ref="D10:E10"/>
    <mergeCell ref="G10:H10"/>
    <mergeCell ref="J10:K10"/>
    <mergeCell ref="L13:L16"/>
    <mergeCell ref="N10:S10"/>
    <mergeCell ref="D11:E11"/>
    <mergeCell ref="G11:H11"/>
    <mergeCell ref="J11:K11"/>
    <mergeCell ref="D12:E12"/>
    <mergeCell ref="G12:H12"/>
    <mergeCell ref="J12:K12"/>
    <mergeCell ref="L1:R2"/>
    <mergeCell ref="S1:T2"/>
    <mergeCell ref="D15:K16"/>
    <mergeCell ref="D13:K14"/>
    <mergeCell ref="A1:K2"/>
    <mergeCell ref="A10:B16"/>
    <mergeCell ref="M13:T16"/>
    <mergeCell ref="M6:T9"/>
    <mergeCell ref="D8:K9"/>
    <mergeCell ref="D6:K7"/>
    <mergeCell ref="A3:B9"/>
    <mergeCell ref="C6:C7"/>
    <mergeCell ref="C8:C9"/>
    <mergeCell ref="C13:C14"/>
    <mergeCell ref="C15:C16"/>
    <mergeCell ref="L6:L9"/>
  </mergeCells>
  <phoneticPr fontId="47" type="noConversion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0000000-0002-0000-0500-000001000000}">
          <x14:formula1>
            <xm:f>总表!$D$29:$D$30</xm:f>
          </x14:formula1>
          <xm:sqref>S1:T2</xm:sqref>
        </x14:dataValidation>
        <x14:dataValidation type="list" allowBlank="1" showInputMessage="1" showErrorMessage="1" xr:uid="{00000000-0002-0000-0500-000002000000}">
          <x14:formula1>
            <xm:f>总表!$A$29:$A$34</xm:f>
          </x14:formula1>
          <xm:sqref>D4:E4 D11:E11</xm:sqref>
        </x14:dataValidation>
        <x14:dataValidation type="list" allowBlank="1" showInputMessage="1" showErrorMessage="1" xr:uid="{00000000-0002-0000-0500-000000000000}">
          <x14:formula1>
            <xm:f>各种技能!$L$4:$L$34</xm:f>
          </x14:formula1>
          <xm:sqref>J3:K3 J10:K10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X20"/>
  <sheetViews>
    <sheetView workbookViewId="0">
      <selection activeCell="H19" sqref="H19"/>
    </sheetView>
  </sheetViews>
  <sheetFormatPr defaultColWidth="9" defaultRowHeight="14" x14ac:dyDescent="0.3"/>
  <sheetData>
    <row r="1" spans="1:24" ht="20.399999999999999" customHeight="1" thickTop="1" x14ac:dyDescent="0.3">
      <c r="A1" s="182" t="s">
        <v>183</v>
      </c>
      <c r="B1" s="183"/>
      <c r="C1" s="183"/>
      <c r="D1" s="183"/>
      <c r="E1" s="183"/>
      <c r="F1" s="183"/>
      <c r="G1" s="183"/>
      <c r="H1" s="183"/>
      <c r="I1" s="183"/>
      <c r="J1" s="183"/>
      <c r="K1" s="183"/>
      <c r="L1" s="183"/>
      <c r="M1" s="183"/>
      <c r="N1" s="184"/>
      <c r="O1" s="190" t="s">
        <v>184</v>
      </c>
      <c r="P1" s="191"/>
      <c r="Q1" s="194">
        <f>FLOOR(AVERAGE(H4,H8,H12,H16),1)</f>
        <v>20</v>
      </c>
      <c r="R1" s="194"/>
      <c r="S1" s="190" t="s">
        <v>185</v>
      </c>
      <c r="T1" s="191"/>
      <c r="U1" s="194">
        <f t="array" aca="1" ref="U1" ca="1">ROUNDDOWN((15/144)*POWER(((INDIRECT("总表"&amp;"!K3")-Q1)/5-12),2)+5,0)</f>
        <v>8</v>
      </c>
      <c r="V1" s="194"/>
      <c r="W1" s="194"/>
    </row>
    <row r="2" spans="1:24" ht="20.399999999999999" customHeight="1" thickBot="1" x14ac:dyDescent="0.35">
      <c r="A2" s="185"/>
      <c r="B2" s="186"/>
      <c r="C2" s="186"/>
      <c r="D2" s="186"/>
      <c r="E2" s="186"/>
      <c r="F2" s="186"/>
      <c r="G2" s="186"/>
      <c r="H2" s="186"/>
      <c r="I2" s="186"/>
      <c r="J2" s="186"/>
      <c r="K2" s="186"/>
      <c r="L2" s="186"/>
      <c r="M2" s="186"/>
      <c r="N2" s="187"/>
      <c r="O2" s="192"/>
      <c r="P2" s="193"/>
      <c r="Q2" s="195"/>
      <c r="R2" s="195"/>
      <c r="S2" s="192"/>
      <c r="T2" s="193"/>
      <c r="U2" s="195"/>
      <c r="V2" s="195"/>
      <c r="W2" s="195"/>
    </row>
    <row r="3" spans="1:24" ht="20.399999999999999" customHeight="1" thickTop="1" thickBot="1" x14ac:dyDescent="0.35">
      <c r="A3" s="179" t="s">
        <v>387</v>
      </c>
      <c r="B3" s="171" t="s">
        <v>157</v>
      </c>
      <c r="C3" s="171"/>
      <c r="D3" s="1" t="s">
        <v>156</v>
      </c>
      <c r="E3" s="1" t="s">
        <v>186</v>
      </c>
      <c r="F3" s="1" t="s">
        <v>87</v>
      </c>
      <c r="G3" s="1" t="s">
        <v>187</v>
      </c>
      <c r="H3" s="1" t="s">
        <v>161</v>
      </c>
      <c r="I3" s="1" t="s">
        <v>164</v>
      </c>
      <c r="J3" s="1" t="s">
        <v>165</v>
      </c>
      <c r="K3" s="1" t="s">
        <v>166</v>
      </c>
      <c r="L3" s="1" t="s">
        <v>167</v>
      </c>
      <c r="M3" s="1" t="s">
        <v>168</v>
      </c>
      <c r="N3" s="1" t="s">
        <v>169</v>
      </c>
      <c r="O3" s="172" t="s">
        <v>173</v>
      </c>
      <c r="P3" s="161" t="s">
        <v>188</v>
      </c>
      <c r="Q3" s="162"/>
      <c r="R3" s="162"/>
      <c r="S3" s="162"/>
      <c r="T3" s="162"/>
      <c r="U3" s="162"/>
      <c r="V3" s="162"/>
      <c r="W3" s="163"/>
    </row>
    <row r="4" spans="1:24" ht="20.399999999999999" customHeight="1" thickTop="1" thickBot="1" x14ac:dyDescent="0.35">
      <c r="A4" s="181"/>
      <c r="B4" s="171"/>
      <c r="C4" s="171"/>
      <c r="D4" s="2">
        <v>1</v>
      </c>
      <c r="E4" s="2">
        <v>1</v>
      </c>
      <c r="F4" s="8">
        <v>0.2</v>
      </c>
      <c r="G4" s="2">
        <v>5</v>
      </c>
      <c r="H4" s="2">
        <v>10</v>
      </c>
      <c r="I4" s="2"/>
      <c r="J4" s="2"/>
      <c r="K4" s="2"/>
      <c r="L4" s="2"/>
      <c r="M4" s="2"/>
      <c r="N4" s="2"/>
      <c r="O4" s="173"/>
      <c r="P4" s="164"/>
      <c r="Q4" s="145"/>
      <c r="R4" s="145"/>
      <c r="S4" s="145"/>
      <c r="T4" s="145"/>
      <c r="U4" s="145"/>
      <c r="V4" s="145"/>
      <c r="W4" s="165"/>
    </row>
    <row r="5" spans="1:24" ht="20.399999999999999" customHeight="1" thickTop="1" thickBot="1" x14ac:dyDescent="0.35">
      <c r="A5" s="179" t="s">
        <v>386</v>
      </c>
      <c r="B5" s="178" t="s">
        <v>189</v>
      </c>
      <c r="C5" s="178"/>
      <c r="D5" s="176"/>
      <c r="E5" s="176"/>
      <c r="F5" s="176"/>
      <c r="G5" s="176"/>
      <c r="H5" s="176"/>
      <c r="I5" s="176"/>
      <c r="J5" s="176"/>
      <c r="K5" s="176"/>
      <c r="L5" s="176"/>
      <c r="M5" s="176"/>
      <c r="N5" s="177"/>
      <c r="O5" s="173"/>
      <c r="P5" s="164"/>
      <c r="Q5" s="145"/>
      <c r="R5" s="145"/>
      <c r="S5" s="145"/>
      <c r="T5" s="145"/>
      <c r="U5" s="145"/>
      <c r="V5" s="145"/>
      <c r="W5" s="165"/>
    </row>
    <row r="6" spans="1:24" ht="20.399999999999999" customHeight="1" thickTop="1" thickBot="1" x14ac:dyDescent="0.35">
      <c r="A6" s="180"/>
      <c r="B6" s="178"/>
      <c r="C6" s="178"/>
      <c r="D6" s="188"/>
      <c r="E6" s="188"/>
      <c r="F6" s="188"/>
      <c r="G6" s="188"/>
      <c r="H6" s="188"/>
      <c r="I6" s="188"/>
      <c r="J6" s="188"/>
      <c r="K6" s="188"/>
      <c r="L6" s="188"/>
      <c r="M6" s="188"/>
      <c r="N6" s="189"/>
      <c r="O6" s="174"/>
      <c r="P6" s="166"/>
      <c r="Q6" s="167"/>
      <c r="R6" s="167"/>
      <c r="S6" s="167"/>
      <c r="T6" s="167"/>
      <c r="U6" s="167"/>
      <c r="V6" s="167"/>
      <c r="W6" s="168"/>
    </row>
    <row r="7" spans="1:24" ht="20.399999999999999" customHeight="1" thickTop="1" thickBot="1" x14ac:dyDescent="0.35">
      <c r="A7" s="179" t="s">
        <v>388</v>
      </c>
      <c r="B7" s="171" t="s">
        <v>157</v>
      </c>
      <c r="C7" s="171"/>
      <c r="D7" s="1" t="s">
        <v>156</v>
      </c>
      <c r="E7" s="1" t="s">
        <v>186</v>
      </c>
      <c r="F7" s="1" t="s">
        <v>87</v>
      </c>
      <c r="G7" s="1" t="s">
        <v>187</v>
      </c>
      <c r="H7" s="1" t="s">
        <v>161</v>
      </c>
      <c r="I7" s="1" t="s">
        <v>164</v>
      </c>
      <c r="J7" s="1" t="s">
        <v>165</v>
      </c>
      <c r="K7" s="1" t="s">
        <v>166</v>
      </c>
      <c r="L7" s="1" t="s">
        <v>167</v>
      </c>
      <c r="M7" s="1" t="s">
        <v>168</v>
      </c>
      <c r="N7" s="1" t="s">
        <v>169</v>
      </c>
      <c r="O7" s="172" t="s">
        <v>173</v>
      </c>
      <c r="P7" s="161" t="s">
        <v>188</v>
      </c>
      <c r="Q7" s="162"/>
      <c r="R7" s="162"/>
      <c r="S7" s="162"/>
      <c r="T7" s="162"/>
      <c r="U7" s="162"/>
      <c r="V7" s="162"/>
      <c r="W7" s="163"/>
    </row>
    <row r="8" spans="1:24" ht="20.399999999999999" customHeight="1" thickTop="1" thickBot="1" x14ac:dyDescent="0.35">
      <c r="A8" s="181"/>
      <c r="B8" s="171"/>
      <c r="C8" s="171"/>
      <c r="D8" s="2">
        <v>1</v>
      </c>
      <c r="E8" s="2">
        <v>2</v>
      </c>
      <c r="F8" s="8">
        <v>0.3</v>
      </c>
      <c r="G8" s="2">
        <v>8</v>
      </c>
      <c r="H8" s="2">
        <v>20</v>
      </c>
      <c r="I8" s="2"/>
      <c r="J8" s="2"/>
      <c r="K8" s="2"/>
      <c r="L8" s="2"/>
      <c r="M8" s="2"/>
      <c r="N8" s="2"/>
      <c r="O8" s="173"/>
      <c r="P8" s="164"/>
      <c r="Q8" s="145"/>
      <c r="R8" s="145"/>
      <c r="S8" s="145"/>
      <c r="T8" s="145"/>
      <c r="U8" s="145"/>
      <c r="V8" s="145"/>
      <c r="W8" s="165"/>
    </row>
    <row r="9" spans="1:24" ht="20.399999999999999" customHeight="1" thickTop="1" thickBot="1" x14ac:dyDescent="0.35">
      <c r="A9" s="179" t="s">
        <v>386</v>
      </c>
      <c r="B9" s="178" t="s">
        <v>191</v>
      </c>
      <c r="C9" s="178"/>
      <c r="D9" s="176"/>
      <c r="E9" s="176"/>
      <c r="F9" s="176"/>
      <c r="G9" s="176"/>
      <c r="H9" s="176"/>
      <c r="I9" s="176"/>
      <c r="J9" s="176"/>
      <c r="K9" s="176"/>
      <c r="L9" s="176"/>
      <c r="M9" s="176"/>
      <c r="N9" s="177"/>
      <c r="O9" s="173"/>
      <c r="P9" s="164"/>
      <c r="Q9" s="145"/>
      <c r="R9" s="145"/>
      <c r="S9" s="145"/>
      <c r="T9" s="145"/>
      <c r="U9" s="145"/>
      <c r="V9" s="145"/>
      <c r="W9" s="165"/>
    </row>
    <row r="10" spans="1:24" ht="20.399999999999999" customHeight="1" thickTop="1" thickBot="1" x14ac:dyDescent="0.35">
      <c r="A10" s="180"/>
      <c r="B10" s="178"/>
      <c r="C10" s="178"/>
      <c r="D10" s="188"/>
      <c r="E10" s="188"/>
      <c r="F10" s="188"/>
      <c r="G10" s="188"/>
      <c r="H10" s="188"/>
      <c r="I10" s="188"/>
      <c r="J10" s="188"/>
      <c r="K10" s="188"/>
      <c r="L10" s="188"/>
      <c r="M10" s="188"/>
      <c r="N10" s="189"/>
      <c r="O10" s="174"/>
      <c r="P10" s="166"/>
      <c r="Q10" s="167"/>
      <c r="R10" s="167"/>
      <c r="S10" s="167"/>
      <c r="T10" s="167"/>
      <c r="U10" s="167"/>
      <c r="V10" s="167"/>
      <c r="W10" s="168"/>
    </row>
    <row r="11" spans="1:24" ht="20.399999999999999" customHeight="1" thickTop="1" thickBot="1" x14ac:dyDescent="0.35">
      <c r="A11" s="179" t="s">
        <v>389</v>
      </c>
      <c r="B11" s="171" t="s">
        <v>157</v>
      </c>
      <c r="C11" s="171"/>
      <c r="D11" s="1" t="s">
        <v>156</v>
      </c>
      <c r="E11" s="1" t="s">
        <v>186</v>
      </c>
      <c r="F11" s="1" t="s">
        <v>87</v>
      </c>
      <c r="G11" s="1" t="s">
        <v>187</v>
      </c>
      <c r="H11" s="1" t="s">
        <v>161</v>
      </c>
      <c r="I11" s="1" t="s">
        <v>164</v>
      </c>
      <c r="J11" s="1" t="s">
        <v>165</v>
      </c>
      <c r="K11" s="1" t="s">
        <v>166</v>
      </c>
      <c r="L11" s="1" t="s">
        <v>167</v>
      </c>
      <c r="M11" s="1" t="s">
        <v>168</v>
      </c>
      <c r="N11" s="1" t="s">
        <v>169</v>
      </c>
      <c r="O11" s="172" t="s">
        <v>173</v>
      </c>
      <c r="P11" s="161" t="s">
        <v>188</v>
      </c>
      <c r="Q11" s="162"/>
      <c r="R11" s="162"/>
      <c r="S11" s="162"/>
      <c r="T11" s="162"/>
      <c r="U11" s="162"/>
      <c r="V11" s="162"/>
      <c r="W11" s="163"/>
      <c r="X11" s="25"/>
    </row>
    <row r="12" spans="1:24" ht="20.399999999999999" customHeight="1" thickTop="1" thickBot="1" x14ac:dyDescent="0.35">
      <c r="A12" s="181"/>
      <c r="B12" s="171"/>
      <c r="C12" s="171"/>
      <c r="D12" s="2">
        <v>1</v>
      </c>
      <c r="E12" s="2">
        <v>3</v>
      </c>
      <c r="F12" s="8">
        <v>0.4</v>
      </c>
      <c r="G12" s="2">
        <v>10</v>
      </c>
      <c r="H12" s="2">
        <v>30</v>
      </c>
      <c r="I12" s="2"/>
      <c r="J12" s="2"/>
      <c r="K12" s="2"/>
      <c r="L12" s="2"/>
      <c r="M12" s="2"/>
      <c r="N12" s="2"/>
      <c r="O12" s="173"/>
      <c r="P12" s="164"/>
      <c r="Q12" s="145"/>
      <c r="R12" s="145"/>
      <c r="S12" s="145"/>
      <c r="T12" s="145"/>
      <c r="U12" s="145"/>
      <c r="V12" s="145"/>
      <c r="W12" s="165"/>
      <c r="X12" s="9"/>
    </row>
    <row r="13" spans="1:24" ht="20.399999999999999" customHeight="1" thickTop="1" thickBot="1" x14ac:dyDescent="0.35">
      <c r="A13" s="179" t="s">
        <v>386</v>
      </c>
      <c r="B13" s="178" t="s">
        <v>192</v>
      </c>
      <c r="C13" s="178"/>
      <c r="D13" s="176"/>
      <c r="E13" s="176"/>
      <c r="F13" s="176"/>
      <c r="G13" s="176"/>
      <c r="H13" s="176"/>
      <c r="I13" s="176"/>
      <c r="J13" s="176"/>
      <c r="K13" s="176"/>
      <c r="L13" s="176"/>
      <c r="M13" s="176"/>
      <c r="N13" s="177"/>
      <c r="O13" s="173"/>
      <c r="P13" s="164"/>
      <c r="Q13" s="145"/>
      <c r="R13" s="145"/>
      <c r="S13" s="145"/>
      <c r="T13" s="145"/>
      <c r="U13" s="145"/>
      <c r="V13" s="145"/>
      <c r="W13" s="165"/>
    </row>
    <row r="14" spans="1:24" ht="20.399999999999999" customHeight="1" thickTop="1" thickBot="1" x14ac:dyDescent="0.35">
      <c r="A14" s="180"/>
      <c r="B14" s="178"/>
      <c r="C14" s="178"/>
      <c r="D14" s="188"/>
      <c r="E14" s="188"/>
      <c r="F14" s="188"/>
      <c r="G14" s="188"/>
      <c r="H14" s="188"/>
      <c r="I14" s="188"/>
      <c r="J14" s="188"/>
      <c r="K14" s="188"/>
      <c r="L14" s="188"/>
      <c r="M14" s="188"/>
      <c r="N14" s="189"/>
      <c r="O14" s="174"/>
      <c r="P14" s="166"/>
      <c r="Q14" s="167"/>
      <c r="R14" s="167"/>
      <c r="S14" s="167"/>
      <c r="T14" s="167"/>
      <c r="U14" s="167"/>
      <c r="V14" s="167"/>
      <c r="W14" s="168"/>
    </row>
    <row r="15" spans="1:24" ht="20.399999999999999" customHeight="1" thickTop="1" thickBot="1" x14ac:dyDescent="0.35">
      <c r="A15" s="179" t="s">
        <v>390</v>
      </c>
      <c r="B15" s="171" t="s">
        <v>157</v>
      </c>
      <c r="C15" s="171"/>
      <c r="D15" s="1" t="s">
        <v>156</v>
      </c>
      <c r="E15" s="1" t="s">
        <v>186</v>
      </c>
      <c r="F15" s="1" t="s">
        <v>87</v>
      </c>
      <c r="G15" s="1" t="s">
        <v>187</v>
      </c>
      <c r="H15" s="1" t="s">
        <v>161</v>
      </c>
      <c r="I15" s="1" t="s">
        <v>164</v>
      </c>
      <c r="J15" s="1" t="s">
        <v>165</v>
      </c>
      <c r="K15" s="1" t="s">
        <v>166</v>
      </c>
      <c r="L15" s="1" t="s">
        <v>167</v>
      </c>
      <c r="M15" s="1" t="s">
        <v>168</v>
      </c>
      <c r="N15" s="1" t="s">
        <v>169</v>
      </c>
      <c r="O15" s="172" t="s">
        <v>173</v>
      </c>
      <c r="P15" s="161" t="s">
        <v>188</v>
      </c>
      <c r="Q15" s="162"/>
      <c r="R15" s="162"/>
      <c r="S15" s="162"/>
      <c r="T15" s="162"/>
      <c r="U15" s="162"/>
      <c r="V15" s="162"/>
      <c r="W15" s="163"/>
    </row>
    <row r="16" spans="1:24" ht="20.399999999999999" customHeight="1" thickTop="1" thickBot="1" x14ac:dyDescent="0.35">
      <c r="A16" s="181"/>
      <c r="B16" s="171"/>
      <c r="C16" s="171"/>
      <c r="D16" s="2">
        <v>1</v>
      </c>
      <c r="E16" s="2">
        <v>2</v>
      </c>
      <c r="F16" s="8">
        <v>0.3</v>
      </c>
      <c r="G16" s="2">
        <v>8</v>
      </c>
      <c r="H16" s="2">
        <v>20</v>
      </c>
      <c r="I16" s="2"/>
      <c r="J16" s="2"/>
      <c r="K16" s="2"/>
      <c r="L16" s="2"/>
      <c r="M16" s="2"/>
      <c r="N16" s="2"/>
      <c r="O16" s="173"/>
      <c r="P16" s="164"/>
      <c r="Q16" s="145"/>
      <c r="R16" s="145"/>
      <c r="S16" s="145"/>
      <c r="T16" s="145"/>
      <c r="U16" s="145"/>
      <c r="V16" s="145"/>
      <c r="W16" s="165"/>
    </row>
    <row r="17" spans="1:23" ht="20.399999999999999" customHeight="1" thickTop="1" thickBot="1" x14ac:dyDescent="0.35">
      <c r="A17" s="179" t="s">
        <v>386</v>
      </c>
      <c r="B17" s="178" t="s">
        <v>193</v>
      </c>
      <c r="C17" s="178"/>
      <c r="D17" s="176"/>
      <c r="E17" s="176"/>
      <c r="F17" s="176"/>
      <c r="G17" s="176"/>
      <c r="H17" s="176"/>
      <c r="I17" s="176"/>
      <c r="J17" s="176"/>
      <c r="K17" s="176"/>
      <c r="L17" s="176"/>
      <c r="M17" s="176"/>
      <c r="N17" s="177"/>
      <c r="O17" s="173"/>
      <c r="P17" s="164"/>
      <c r="Q17" s="145"/>
      <c r="R17" s="145"/>
      <c r="S17" s="145"/>
      <c r="T17" s="145"/>
      <c r="U17" s="145"/>
      <c r="V17" s="145"/>
      <c r="W17" s="165"/>
    </row>
    <row r="18" spans="1:23" ht="20.399999999999999" customHeight="1" thickTop="1" thickBot="1" x14ac:dyDescent="0.35">
      <c r="A18" s="180"/>
      <c r="B18" s="178"/>
      <c r="C18" s="178"/>
      <c r="D18" s="188"/>
      <c r="E18" s="188"/>
      <c r="F18" s="188"/>
      <c r="G18" s="188"/>
      <c r="H18" s="188"/>
      <c r="I18" s="188"/>
      <c r="J18" s="188"/>
      <c r="K18" s="188"/>
      <c r="L18" s="188"/>
      <c r="M18" s="188"/>
      <c r="N18" s="189"/>
      <c r="O18" s="174"/>
      <c r="P18" s="166"/>
      <c r="Q18" s="167"/>
      <c r="R18" s="167"/>
      <c r="S18" s="167"/>
      <c r="T18" s="167"/>
      <c r="U18" s="167"/>
      <c r="V18" s="167"/>
      <c r="W18" s="168"/>
    </row>
    <row r="19" spans="1:23" ht="20.399999999999999" customHeight="1" thickTop="1" x14ac:dyDescent="0.3"/>
    <row r="20" spans="1:23" ht="20.399999999999999" customHeight="1" x14ac:dyDescent="0.3"/>
  </sheetData>
  <protectedRanges>
    <protectedRange sqref="X6 H16:N16 X10 H12:N12 H8:N8 H4:N4 X4 X8 B16:E16 B12:E12 B8:E8 B4:E4" name="防具区域"/>
    <protectedRange sqref="O5:P5 S5:W5" name="防具区域_1"/>
    <protectedRange sqref="O9:P9 S9:W9" name="防具区域_2"/>
    <protectedRange sqref="O13:P13 S13:W13" name="防具区域_4"/>
    <protectedRange sqref="O17:P17 S17:W17" name="防具区域_5"/>
  </protectedRanges>
  <mergeCells count="37">
    <mergeCell ref="O15:O18"/>
    <mergeCell ref="B15:C16"/>
    <mergeCell ref="B17:C18"/>
    <mergeCell ref="B13:C14"/>
    <mergeCell ref="D13:N13"/>
    <mergeCell ref="D14:N14"/>
    <mergeCell ref="D17:N17"/>
    <mergeCell ref="D18:N18"/>
    <mergeCell ref="P15:W18"/>
    <mergeCell ref="U1:W2"/>
    <mergeCell ref="P3:W6"/>
    <mergeCell ref="P11:W14"/>
    <mergeCell ref="P7:W10"/>
    <mergeCell ref="A9:A10"/>
    <mergeCell ref="A11:A12"/>
    <mergeCell ref="O1:P2"/>
    <mergeCell ref="Q1:R2"/>
    <mergeCell ref="S1:T2"/>
    <mergeCell ref="O3:O6"/>
    <mergeCell ref="O7:O10"/>
    <mergeCell ref="O11:O14"/>
    <mergeCell ref="A13:A14"/>
    <mergeCell ref="A15:A16"/>
    <mergeCell ref="A17:A18"/>
    <mergeCell ref="A1:N2"/>
    <mergeCell ref="B3:C4"/>
    <mergeCell ref="B9:C10"/>
    <mergeCell ref="B11:C12"/>
    <mergeCell ref="B5:C6"/>
    <mergeCell ref="B7:C8"/>
    <mergeCell ref="D5:N5"/>
    <mergeCell ref="D6:N6"/>
    <mergeCell ref="D9:N9"/>
    <mergeCell ref="D10:N10"/>
    <mergeCell ref="A3:A4"/>
    <mergeCell ref="A5:A6"/>
    <mergeCell ref="A7:A8"/>
  </mergeCells>
  <phoneticPr fontId="47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5"/>
  <dimension ref="A1:AF34"/>
  <sheetViews>
    <sheetView workbookViewId="0">
      <selection activeCell="K28" sqref="K28"/>
    </sheetView>
  </sheetViews>
  <sheetFormatPr defaultColWidth="9" defaultRowHeight="14" x14ac:dyDescent="0.3"/>
  <cols>
    <col min="2" max="2" width="8.9140625" customWidth="1"/>
  </cols>
  <sheetData>
    <row r="1" spans="1:32" ht="15" customHeight="1" x14ac:dyDescent="0.3">
      <c r="A1" s="198" t="s">
        <v>78</v>
      </c>
      <c r="B1" s="198"/>
      <c r="C1" s="198"/>
      <c r="D1" s="198"/>
      <c r="E1" s="198"/>
      <c r="F1" s="198"/>
      <c r="G1" s="198"/>
      <c r="H1" s="198"/>
      <c r="I1" s="198"/>
      <c r="J1" s="198"/>
      <c r="L1" s="198" t="s">
        <v>194</v>
      </c>
      <c r="M1" s="198"/>
      <c r="N1" s="198"/>
      <c r="O1" s="198"/>
      <c r="P1" s="198"/>
      <c r="Q1" s="198"/>
      <c r="R1" s="198"/>
      <c r="S1" s="198"/>
      <c r="T1" s="198"/>
      <c r="U1" s="198"/>
      <c r="W1" s="198" t="s">
        <v>195</v>
      </c>
      <c r="X1" s="198"/>
      <c r="Y1" s="198"/>
      <c r="Z1" s="198"/>
      <c r="AA1" s="198"/>
      <c r="AB1" s="198"/>
      <c r="AC1" s="198"/>
      <c r="AD1" s="198"/>
      <c r="AE1" s="198"/>
      <c r="AF1" s="198"/>
    </row>
    <row r="2" spans="1:32" ht="15" customHeight="1" x14ac:dyDescent="0.3">
      <c r="A2" s="198"/>
      <c r="B2" s="198"/>
      <c r="C2" s="198"/>
      <c r="D2" s="198"/>
      <c r="E2" s="198"/>
      <c r="F2" s="198"/>
      <c r="G2" s="198"/>
      <c r="H2" s="198"/>
      <c r="I2" s="198"/>
      <c r="J2" s="198"/>
      <c r="L2" s="198"/>
      <c r="M2" s="198"/>
      <c r="N2" s="198"/>
      <c r="O2" s="198"/>
      <c r="P2" s="198"/>
      <c r="Q2" s="198"/>
      <c r="R2" s="198"/>
      <c r="S2" s="198"/>
      <c r="T2" s="198"/>
      <c r="U2" s="198"/>
      <c r="W2" s="198"/>
      <c r="X2" s="198"/>
      <c r="Y2" s="198"/>
      <c r="Z2" s="198"/>
      <c r="AA2" s="198"/>
      <c r="AB2" s="198"/>
      <c r="AC2" s="198"/>
      <c r="AD2" s="198"/>
      <c r="AE2" s="198"/>
      <c r="AF2" s="198"/>
    </row>
    <row r="3" spans="1:32" x14ac:dyDescent="0.3">
      <c r="A3" s="1" t="s">
        <v>157</v>
      </c>
      <c r="B3" s="1" t="s">
        <v>160</v>
      </c>
      <c r="C3" s="1" t="s">
        <v>196</v>
      </c>
      <c r="D3" s="1" t="s">
        <v>197</v>
      </c>
      <c r="E3" s="1" t="s">
        <v>198</v>
      </c>
      <c r="F3" s="1" t="s">
        <v>199</v>
      </c>
      <c r="G3" s="1" t="s">
        <v>81</v>
      </c>
      <c r="H3" s="171" t="s">
        <v>200</v>
      </c>
      <c r="I3" s="171"/>
      <c r="J3" s="171"/>
      <c r="L3" s="1" t="s">
        <v>157</v>
      </c>
      <c r="M3" s="1" t="s">
        <v>160</v>
      </c>
      <c r="N3" s="1" t="s">
        <v>196</v>
      </c>
      <c r="O3" s="1" t="s">
        <v>197</v>
      </c>
      <c r="P3" s="1" t="s">
        <v>198</v>
      </c>
      <c r="Q3" s="1" t="s">
        <v>199</v>
      </c>
      <c r="R3" s="1" t="s">
        <v>81</v>
      </c>
      <c r="S3" s="171" t="s">
        <v>200</v>
      </c>
      <c r="T3" s="171"/>
      <c r="U3" s="171"/>
      <c r="W3" s="1" t="s">
        <v>157</v>
      </c>
      <c r="X3" s="1" t="s">
        <v>160</v>
      </c>
      <c r="Y3" s="1" t="s">
        <v>196</v>
      </c>
      <c r="Z3" s="1" t="s">
        <v>197</v>
      </c>
      <c r="AA3" s="1" t="s">
        <v>198</v>
      </c>
      <c r="AB3" s="1" t="s">
        <v>199</v>
      </c>
      <c r="AC3" s="1" t="s">
        <v>81</v>
      </c>
      <c r="AD3" s="171" t="s">
        <v>200</v>
      </c>
      <c r="AE3" s="171"/>
      <c r="AF3" s="171"/>
    </row>
    <row r="4" spans="1:32" x14ac:dyDescent="0.3">
      <c r="A4" s="199" t="s">
        <v>11</v>
      </c>
      <c r="B4" s="188"/>
      <c r="C4" s="188"/>
      <c r="D4" s="188"/>
      <c r="E4" s="188"/>
      <c r="F4" s="188"/>
      <c r="G4" s="188"/>
      <c r="H4" s="188"/>
      <c r="I4" s="188"/>
      <c r="J4" s="189"/>
      <c r="L4" s="199" t="s">
        <v>201</v>
      </c>
      <c r="M4" s="188"/>
      <c r="N4" s="188"/>
      <c r="O4" s="188"/>
      <c r="P4" s="188"/>
      <c r="Q4" s="188"/>
      <c r="R4" s="188"/>
      <c r="S4" s="188"/>
      <c r="T4" s="188"/>
      <c r="U4" s="189"/>
      <c r="W4" s="2" t="s">
        <v>202</v>
      </c>
      <c r="X4" s="2" t="s">
        <v>46</v>
      </c>
      <c r="Y4" s="2">
        <f ca="1">LOOKUP(INDIRECT("rc[-1]",),INDIRECT("总表"&amp;"!A29:A34"),INDIRECT("总表"&amp;"!B29:B34"))</f>
        <v>30</v>
      </c>
      <c r="Z4" s="2">
        <v>30</v>
      </c>
      <c r="AA4" s="2"/>
      <c r="AB4" s="2"/>
      <c r="AC4" s="3">
        <f ca="1">IF(SUM(Y4:AA4)&lt;=50,SUM(Y4:AA4),IF(SUM(Y4:AA4)&lt;=80,(SUM(Y4:AA4)-50)*0.7+50,(SUM(Y4:AA4)-80)*0.4+71))+AB4</f>
        <v>57</v>
      </c>
      <c r="AD4" s="2">
        <v>0</v>
      </c>
      <c r="AE4" s="2" t="s">
        <v>23</v>
      </c>
      <c r="AF4" s="2">
        <f t="shared" ref="AF4:AF28" si="0">IF(Z4&lt;10,"6",IF(Z4&lt;20,"9",IF(Z4&lt;30,"12",18)))</f>
        <v>18</v>
      </c>
    </row>
    <row r="5" spans="1:32" x14ac:dyDescent="0.3">
      <c r="A5" s="2" t="s">
        <v>75</v>
      </c>
      <c r="B5" s="2" t="s">
        <v>11</v>
      </c>
      <c r="C5" s="2">
        <f ca="1">LOOKUP(INDIRECT("rc[-1]",),INDIRECT("总表"&amp;"!A29:A34"),INDIRECT("总表"&amp;"!B29:B34"))</f>
        <v>50</v>
      </c>
      <c r="D5" s="2">
        <v>1</v>
      </c>
      <c r="E5" s="64"/>
      <c r="F5" s="2"/>
      <c r="G5" s="3">
        <f ca="1">IF(SUM(C5:E5)&lt;=50,SUM(C5:E5),IF(SUM(C5:E5)&lt;=80,(SUM(C5:E5)-50)*0.7+50,(SUM(C5:E5)-80)*0.4+71))+F5</f>
        <v>50.7</v>
      </c>
      <c r="H5" s="2">
        <v>0</v>
      </c>
      <c r="I5" s="2" t="s">
        <v>23</v>
      </c>
      <c r="J5" s="2" t="str">
        <f t="shared" ref="J5:J13" si="1">IF(D5&lt;10,"6",IF(D5&lt;20,"9",IF(D5&lt;30,"12",18)))</f>
        <v>6</v>
      </c>
      <c r="L5" s="2" t="s">
        <v>203</v>
      </c>
      <c r="M5" s="2" t="s">
        <v>11</v>
      </c>
      <c r="N5" s="2">
        <f ca="1">LOOKUP(INDIRECT("rc[-1]",),INDIRECT("总表"&amp;"!A29:A34"),INDIRECT("总表"&amp;"!B29:B34"))</f>
        <v>50</v>
      </c>
      <c r="O5" s="2">
        <v>1</v>
      </c>
      <c r="P5" s="2"/>
      <c r="Q5" s="2"/>
      <c r="R5" s="3">
        <f ca="1">IF(SUM(N5:P5)&lt;=50,SUM(N5:P5),IF(SUM(N5:P5)&lt;=80,(SUM(N5:P5)-50)*0.7+50,(SUM(N5:P5)-80)*0.4+71))+Q5</f>
        <v>50.7</v>
      </c>
      <c r="S5" s="2">
        <v>0</v>
      </c>
      <c r="T5" s="2" t="s">
        <v>23</v>
      </c>
      <c r="U5" s="2" t="str">
        <f t="shared" ref="U5:U32" si="2">IF(O5&lt;10,"6",IF(O5&lt;20,"9",IF(O5&lt;30,"12",18)))</f>
        <v>6</v>
      </c>
      <c r="W5" s="2" t="s">
        <v>204</v>
      </c>
      <c r="X5" s="2" t="s">
        <v>46</v>
      </c>
      <c r="Y5" s="2">
        <f t="shared" ref="Y5:Y28" ca="1" si="3">LOOKUP(INDIRECT("rc[-1]",),INDIRECT("总表"&amp;"!A29:A34"),INDIRECT("总表"&amp;"!B29:B34"))</f>
        <v>30</v>
      </c>
      <c r="Z5" s="2">
        <v>30</v>
      </c>
      <c r="AA5" s="2"/>
      <c r="AB5" s="2"/>
      <c r="AC5" s="3">
        <f t="shared" ref="AC5:AC28" ca="1" si="4">IF(SUM(Y5:AA5)&lt;=50,SUM(Y5:AA5),IF(SUM(Y5:AA5)&lt;=80,(SUM(Y5:AA5)-50)*0.7+50,(SUM(Y5:AA5)-80)*0.4+71))+AB5</f>
        <v>57</v>
      </c>
      <c r="AD5" s="2">
        <v>0</v>
      </c>
      <c r="AE5" s="2" t="s">
        <v>23</v>
      </c>
      <c r="AF5" s="2">
        <f t="shared" si="0"/>
        <v>18</v>
      </c>
    </row>
    <row r="6" spans="1:32" x14ac:dyDescent="0.3">
      <c r="A6" s="2" t="s">
        <v>205</v>
      </c>
      <c r="B6" s="2" t="s">
        <v>11</v>
      </c>
      <c r="C6" s="2">
        <f t="shared" ref="C6:C7" ca="1" si="5">LOOKUP(INDIRECT("rc[-1]",),INDIRECT("总表"&amp;"!A29:A34"),INDIRECT("总表"&amp;"!B29:B34"))</f>
        <v>50</v>
      </c>
      <c r="D6" s="2">
        <v>1</v>
      </c>
      <c r="E6" s="2"/>
      <c r="F6" s="2"/>
      <c r="G6" s="3">
        <f t="shared" ref="G6:G7" ca="1" si="6">IF(SUM(C6:E6)&lt;=50,SUM(C6:E6),IF(SUM(C6:E6)&lt;=80,(SUM(C6:E6)-50)*0.7+50,(SUM(C6:E6)-80)*0.4+71))+F6</f>
        <v>50.7</v>
      </c>
      <c r="H6" s="2">
        <v>0</v>
      </c>
      <c r="I6" s="2" t="s">
        <v>23</v>
      </c>
      <c r="J6" s="2" t="str">
        <f t="shared" si="1"/>
        <v>6</v>
      </c>
      <c r="L6" s="2" t="s">
        <v>206</v>
      </c>
      <c r="M6" s="2" t="s">
        <v>31</v>
      </c>
      <c r="N6" s="2">
        <f t="shared" ref="N6:N9" ca="1" si="7">LOOKUP(INDIRECT("rc[-1]",),INDIRECT("总表"&amp;"!A29:A34"),INDIRECT("总表"&amp;"!B29:B34"))</f>
        <v>50</v>
      </c>
      <c r="O6" s="2">
        <v>1</v>
      </c>
      <c r="P6" s="2"/>
      <c r="Q6" s="2"/>
      <c r="R6" s="3">
        <f t="shared" ref="R6:R9" ca="1" si="8">IF(SUM(N6:P6)&lt;=50,SUM(N6:P6),IF(SUM(N6:P6)&lt;=80,(SUM(N6:P6)-50)*0.7+50,(SUM(N6:P6)-80)*0.4+71))+Q6</f>
        <v>50.7</v>
      </c>
      <c r="S6" s="2">
        <v>0</v>
      </c>
      <c r="T6" s="2" t="s">
        <v>23</v>
      </c>
      <c r="U6" s="2" t="str">
        <f t="shared" si="2"/>
        <v>6</v>
      </c>
      <c r="W6" s="2" t="s">
        <v>207</v>
      </c>
      <c r="X6" s="2" t="s">
        <v>46</v>
      </c>
      <c r="Y6" s="2">
        <f t="shared" ca="1" si="3"/>
        <v>30</v>
      </c>
      <c r="Z6" s="196">
        <v>1</v>
      </c>
      <c r="AA6" s="2"/>
      <c r="AB6" s="2"/>
      <c r="AC6" s="3">
        <f t="shared" ca="1" si="4"/>
        <v>31</v>
      </c>
      <c r="AD6" s="196">
        <v>0</v>
      </c>
      <c r="AE6" s="196" t="s">
        <v>23</v>
      </c>
      <c r="AF6" s="196" t="str">
        <f t="shared" si="0"/>
        <v>6</v>
      </c>
    </row>
    <row r="7" spans="1:32" x14ac:dyDescent="0.3">
      <c r="A7" s="2" t="s">
        <v>208</v>
      </c>
      <c r="B7" s="2" t="s">
        <v>11</v>
      </c>
      <c r="C7" s="2">
        <f t="shared" ca="1" si="5"/>
        <v>50</v>
      </c>
      <c r="D7" s="2">
        <v>1</v>
      </c>
      <c r="E7" s="2"/>
      <c r="F7" s="2"/>
      <c r="G7" s="3">
        <f t="shared" ca="1" si="6"/>
        <v>50.7</v>
      </c>
      <c r="H7" s="2">
        <v>0</v>
      </c>
      <c r="I7" s="2" t="s">
        <v>23</v>
      </c>
      <c r="J7" s="2" t="str">
        <f t="shared" si="1"/>
        <v>6</v>
      </c>
      <c r="L7" s="2" t="s">
        <v>209</v>
      </c>
      <c r="M7" s="2" t="s">
        <v>11</v>
      </c>
      <c r="N7" s="2">
        <f t="shared" ca="1" si="7"/>
        <v>50</v>
      </c>
      <c r="O7" s="2">
        <v>1</v>
      </c>
      <c r="P7" s="2"/>
      <c r="Q7" s="2"/>
      <c r="R7" s="3">
        <f t="shared" ca="1" si="8"/>
        <v>50.7</v>
      </c>
      <c r="S7" s="2">
        <v>0</v>
      </c>
      <c r="T7" s="2" t="s">
        <v>23</v>
      </c>
      <c r="U7" s="2" t="str">
        <f t="shared" si="2"/>
        <v>6</v>
      </c>
      <c r="W7" s="2" t="s">
        <v>210</v>
      </c>
      <c r="X7" s="2" t="s">
        <v>211</v>
      </c>
      <c r="Y7" s="2">
        <f>坐骑!F4</f>
        <v>25</v>
      </c>
      <c r="Z7" s="197"/>
      <c r="AA7" s="2"/>
      <c r="AB7" s="2"/>
      <c r="AC7" s="3">
        <f>IF(SUM(Y7,Z6,AA7)&lt;=50,SUM(Y7,Z6,AA7),IF(SUM(Y7,Z6,AA7)&lt;=80,(SUM(Y7,Z6,AA7)-50)*0.7+50,(SUM(Y7,Z6,AA7)-80)*0.4+71))+AB7</f>
        <v>26</v>
      </c>
      <c r="AD7" s="197"/>
      <c r="AE7" s="197"/>
      <c r="AF7" s="197"/>
    </row>
    <row r="8" spans="1:32" x14ac:dyDescent="0.3">
      <c r="A8" s="199" t="s">
        <v>31</v>
      </c>
      <c r="B8" s="200"/>
      <c r="C8" s="200"/>
      <c r="D8" s="200"/>
      <c r="E8" s="200"/>
      <c r="F8" s="200"/>
      <c r="G8" s="200"/>
      <c r="H8" s="200"/>
      <c r="I8" s="200"/>
      <c r="J8" s="201"/>
      <c r="L8" s="2" t="s">
        <v>212</v>
      </c>
      <c r="M8" s="2" t="s">
        <v>31</v>
      </c>
      <c r="N8" s="2">
        <f t="shared" ca="1" si="7"/>
        <v>50</v>
      </c>
      <c r="O8" s="2">
        <v>1</v>
      </c>
      <c r="P8" s="2"/>
      <c r="Q8" s="2"/>
      <c r="R8" s="3">
        <f t="shared" ca="1" si="8"/>
        <v>50.7</v>
      </c>
      <c r="S8" s="2">
        <v>0</v>
      </c>
      <c r="T8" s="2" t="s">
        <v>23</v>
      </c>
      <c r="U8" s="2" t="str">
        <f t="shared" si="2"/>
        <v>6</v>
      </c>
      <c r="W8" s="2"/>
      <c r="X8" s="2" t="s">
        <v>46</v>
      </c>
      <c r="Y8" s="2">
        <f t="shared" ca="1" si="3"/>
        <v>30</v>
      </c>
      <c r="Z8" s="2">
        <v>1</v>
      </c>
      <c r="AA8" s="2"/>
      <c r="AB8" s="2"/>
      <c r="AC8" s="3">
        <f t="shared" ca="1" si="4"/>
        <v>31</v>
      </c>
      <c r="AD8" s="2">
        <v>0</v>
      </c>
      <c r="AE8" s="2" t="s">
        <v>23</v>
      </c>
      <c r="AF8" s="2" t="str">
        <f t="shared" si="0"/>
        <v>6</v>
      </c>
    </row>
    <row r="9" spans="1:32" ht="15" customHeight="1" x14ac:dyDescent="0.3">
      <c r="A9" s="2" t="s">
        <v>76</v>
      </c>
      <c r="B9" s="2" t="s">
        <v>31</v>
      </c>
      <c r="C9" s="2">
        <f ca="1">LOOKUP(INDIRECT("rc[-1]",),INDIRECT("总表"&amp;"!A29:A34"),INDIRECT("总表"&amp;"!B29:B34"))</f>
        <v>50</v>
      </c>
      <c r="D9" s="2">
        <v>1</v>
      </c>
      <c r="E9" s="2"/>
      <c r="F9" s="2"/>
      <c r="G9" s="3">
        <f ca="1">IF(SUM(C9:E9)&lt;=50,SUM(C9:E9),IF(SUM(C9:E9)&lt;=80,(SUM(C9:E9)-50)*0.7+50,(SUM(C9:E9)-80)*0.4+71))+F9</f>
        <v>50.7</v>
      </c>
      <c r="H9" s="2">
        <v>0</v>
      </c>
      <c r="I9" s="2" t="s">
        <v>23</v>
      </c>
      <c r="J9" s="2" t="str">
        <f t="shared" si="1"/>
        <v>6</v>
      </c>
      <c r="L9" s="2" t="s">
        <v>213</v>
      </c>
      <c r="M9" s="2" t="s">
        <v>31</v>
      </c>
      <c r="N9" s="2">
        <f t="shared" ca="1" si="7"/>
        <v>50</v>
      </c>
      <c r="O9" s="2">
        <v>1</v>
      </c>
      <c r="P9" s="2"/>
      <c r="Q9" s="2"/>
      <c r="R9" s="3">
        <f t="shared" ca="1" si="8"/>
        <v>50.7</v>
      </c>
      <c r="S9" s="2">
        <v>0</v>
      </c>
      <c r="T9" s="2" t="s">
        <v>23</v>
      </c>
      <c r="U9" s="2" t="str">
        <f t="shared" si="2"/>
        <v>6</v>
      </c>
      <c r="W9" s="2"/>
      <c r="X9" s="2" t="s">
        <v>46</v>
      </c>
      <c r="Y9" s="2">
        <f t="shared" ca="1" si="3"/>
        <v>30</v>
      </c>
      <c r="Z9" s="2">
        <v>1</v>
      </c>
      <c r="AA9" s="2"/>
      <c r="AB9" s="2"/>
      <c r="AC9" s="3">
        <f t="shared" ca="1" si="4"/>
        <v>31</v>
      </c>
      <c r="AD9" s="2">
        <v>0</v>
      </c>
      <c r="AE9" s="2" t="s">
        <v>23</v>
      </c>
      <c r="AF9" s="2" t="str">
        <f t="shared" si="0"/>
        <v>6</v>
      </c>
    </row>
    <row r="10" spans="1:32" ht="15" customHeight="1" x14ac:dyDescent="0.3">
      <c r="A10" s="2" t="s">
        <v>214</v>
      </c>
      <c r="B10" s="2" t="s">
        <v>31</v>
      </c>
      <c r="C10" s="2">
        <f t="shared" ref="C10:C13" ca="1" si="9">LOOKUP(INDIRECT("rc[-1]",),INDIRECT("总表"&amp;"!A29:A34"),INDIRECT("总表"&amp;"!B29:B34"))</f>
        <v>50</v>
      </c>
      <c r="D10" s="2">
        <v>1</v>
      </c>
      <c r="E10" s="2"/>
      <c r="F10" s="2"/>
      <c r="G10" s="3">
        <f t="shared" ref="G10:G13" ca="1" si="10">IF(SUM(C10:E10)&lt;=50,SUM(C10:E10),IF(SUM(C10:E10)&lt;=80,(SUM(C10:E10)-50)*0.7+50,(SUM(C10:E10)-80)*0.4+71))+F10</f>
        <v>50.7</v>
      </c>
      <c r="H10" s="2">
        <v>0</v>
      </c>
      <c r="I10" s="2" t="s">
        <v>23</v>
      </c>
      <c r="J10" s="2" t="str">
        <f t="shared" si="1"/>
        <v>6</v>
      </c>
      <c r="L10" s="199" t="s">
        <v>215</v>
      </c>
      <c r="M10" s="200"/>
      <c r="N10" s="200"/>
      <c r="O10" s="200"/>
      <c r="P10" s="200"/>
      <c r="Q10" s="200"/>
      <c r="R10" s="200"/>
      <c r="S10" s="200"/>
      <c r="T10" s="200"/>
      <c r="U10" s="201"/>
      <c r="W10" s="2"/>
      <c r="X10" s="2" t="s">
        <v>46</v>
      </c>
      <c r="Y10" s="2">
        <f t="shared" ca="1" si="3"/>
        <v>30</v>
      </c>
      <c r="Z10" s="2">
        <v>1</v>
      </c>
      <c r="AA10" s="2"/>
      <c r="AB10" s="2"/>
      <c r="AC10" s="3">
        <f t="shared" ca="1" si="4"/>
        <v>31</v>
      </c>
      <c r="AD10" s="2">
        <v>0</v>
      </c>
      <c r="AE10" s="2" t="s">
        <v>23</v>
      </c>
      <c r="AF10" s="2" t="str">
        <f t="shared" si="0"/>
        <v>6</v>
      </c>
    </row>
    <row r="11" spans="1:32" ht="15" customHeight="1" x14ac:dyDescent="0.3">
      <c r="A11" s="2" t="s">
        <v>216</v>
      </c>
      <c r="B11" s="2" t="s">
        <v>31</v>
      </c>
      <c r="C11" s="2">
        <f t="shared" ca="1" si="9"/>
        <v>50</v>
      </c>
      <c r="D11" s="2">
        <v>1</v>
      </c>
      <c r="E11" s="2"/>
      <c r="F11" s="2"/>
      <c r="G11" s="3">
        <f t="shared" ca="1" si="10"/>
        <v>50.7</v>
      </c>
      <c r="H11" s="2">
        <v>0</v>
      </c>
      <c r="I11" s="2" t="s">
        <v>23</v>
      </c>
      <c r="J11" s="2" t="str">
        <f t="shared" si="1"/>
        <v>6</v>
      </c>
      <c r="L11" s="2" t="s">
        <v>217</v>
      </c>
      <c r="M11" s="2" t="s">
        <v>11</v>
      </c>
      <c r="N11" s="2">
        <f ca="1">LOOKUP(INDIRECT("rc[-1]",),INDIRECT("总表"&amp;"!A29:A34"),INDIRECT("总表"&amp;"!B29:B34"))</f>
        <v>50</v>
      </c>
      <c r="O11" s="2">
        <v>1</v>
      </c>
      <c r="P11" s="2"/>
      <c r="Q11" s="2"/>
      <c r="R11" s="3">
        <f ca="1">IF(SUM(N11:P11)&lt;=50,SUM(N11:P11),IF(SUM(N11:P11)&lt;=80,(SUM(N11:P11)-50)*0.7+50,(SUM(N11:P11)-80)*0.4+71))+Q11</f>
        <v>50.7</v>
      </c>
      <c r="S11" s="2">
        <v>0</v>
      </c>
      <c r="T11" s="2" t="s">
        <v>23</v>
      </c>
      <c r="U11" s="2" t="str">
        <f t="shared" si="2"/>
        <v>6</v>
      </c>
      <c r="W11" s="2"/>
      <c r="X11" s="2" t="s">
        <v>46</v>
      </c>
      <c r="Y11" s="2">
        <f t="shared" ca="1" si="3"/>
        <v>30</v>
      </c>
      <c r="Z11" s="2">
        <v>1</v>
      </c>
      <c r="AA11" s="2"/>
      <c r="AB11" s="2"/>
      <c r="AC11" s="3">
        <f t="shared" ca="1" si="4"/>
        <v>31</v>
      </c>
      <c r="AD11" s="2">
        <v>0</v>
      </c>
      <c r="AE11" s="2" t="s">
        <v>23</v>
      </c>
      <c r="AF11" s="2" t="str">
        <f t="shared" si="0"/>
        <v>6</v>
      </c>
    </row>
    <row r="12" spans="1:32" x14ac:dyDescent="0.3">
      <c r="A12" s="2" t="s">
        <v>218</v>
      </c>
      <c r="B12" s="2" t="s">
        <v>31</v>
      </c>
      <c r="C12" s="2">
        <f t="shared" ca="1" si="9"/>
        <v>50</v>
      </c>
      <c r="D12" s="2">
        <v>1</v>
      </c>
      <c r="E12" s="2"/>
      <c r="F12" s="2"/>
      <c r="G12" s="3">
        <f t="shared" ca="1" si="10"/>
        <v>50.7</v>
      </c>
      <c r="H12" s="2">
        <v>0</v>
      </c>
      <c r="I12" s="2" t="s">
        <v>23</v>
      </c>
      <c r="J12" s="2" t="str">
        <f t="shared" si="1"/>
        <v>6</v>
      </c>
      <c r="L12" s="2" t="s">
        <v>219</v>
      </c>
      <c r="M12" s="2" t="s">
        <v>31</v>
      </c>
      <c r="N12" s="2">
        <f t="shared" ref="N12:N14" ca="1" si="11">LOOKUP(INDIRECT("rc[-1]",),INDIRECT("总表"&amp;"!A29:A34"),INDIRECT("总表"&amp;"!B29:B34"))</f>
        <v>50</v>
      </c>
      <c r="O12" s="2">
        <v>1</v>
      </c>
      <c r="P12" s="2"/>
      <c r="Q12" s="2"/>
      <c r="R12" s="3">
        <f t="shared" ref="R12:R14" ca="1" si="12">IF(SUM(N12:P12)&lt;=50,SUM(N12:P12),IF(SUM(N12:P12)&lt;=80,(SUM(N12:P12)-50)*0.7+50,(SUM(N12:P12)-80)*0.4+71))+Q12</f>
        <v>50.7</v>
      </c>
      <c r="S12" s="2">
        <v>0</v>
      </c>
      <c r="T12" s="2" t="s">
        <v>23</v>
      </c>
      <c r="U12" s="2" t="str">
        <f t="shared" si="2"/>
        <v>6</v>
      </c>
      <c r="W12" s="2"/>
      <c r="X12" s="2" t="s">
        <v>46</v>
      </c>
      <c r="Y12" s="2">
        <f t="shared" ca="1" si="3"/>
        <v>30</v>
      </c>
      <c r="Z12" s="2">
        <v>1</v>
      </c>
      <c r="AA12" s="2"/>
      <c r="AB12" s="2"/>
      <c r="AC12" s="3">
        <f t="shared" ca="1" si="4"/>
        <v>31</v>
      </c>
      <c r="AD12" s="2">
        <v>0</v>
      </c>
      <c r="AE12" s="2" t="s">
        <v>23</v>
      </c>
      <c r="AF12" s="2" t="str">
        <f t="shared" si="0"/>
        <v>6</v>
      </c>
    </row>
    <row r="13" spans="1:32" x14ac:dyDescent="0.3">
      <c r="A13" s="2" t="s">
        <v>220</v>
      </c>
      <c r="B13" s="2" t="s">
        <v>31</v>
      </c>
      <c r="C13" s="2">
        <f t="shared" ca="1" si="9"/>
        <v>50</v>
      </c>
      <c r="D13" s="2">
        <v>1</v>
      </c>
      <c r="E13" s="2"/>
      <c r="F13" s="2"/>
      <c r="G13" s="3">
        <f t="shared" ca="1" si="10"/>
        <v>50.7</v>
      </c>
      <c r="H13" s="2">
        <v>0</v>
      </c>
      <c r="I13" s="2" t="s">
        <v>23</v>
      </c>
      <c r="J13" s="2" t="str">
        <f t="shared" si="1"/>
        <v>6</v>
      </c>
      <c r="L13" s="2" t="s">
        <v>221</v>
      </c>
      <c r="M13" s="2" t="s">
        <v>31</v>
      </c>
      <c r="N13" s="2">
        <f t="shared" ca="1" si="11"/>
        <v>50</v>
      </c>
      <c r="O13" s="2">
        <v>1</v>
      </c>
      <c r="P13" s="2"/>
      <c r="Q13" s="2"/>
      <c r="R13" s="3">
        <f t="shared" ca="1" si="12"/>
        <v>50.7</v>
      </c>
      <c r="S13" s="2">
        <v>0</v>
      </c>
      <c r="T13" s="2" t="s">
        <v>23</v>
      </c>
      <c r="U13" s="2" t="str">
        <f t="shared" si="2"/>
        <v>6</v>
      </c>
      <c r="W13" s="2"/>
      <c r="X13" s="2" t="s">
        <v>46</v>
      </c>
      <c r="Y13" s="2">
        <f t="shared" ca="1" si="3"/>
        <v>30</v>
      </c>
      <c r="Z13" s="2">
        <v>1</v>
      </c>
      <c r="AA13" s="2"/>
      <c r="AB13" s="2"/>
      <c r="AC13" s="3">
        <f t="shared" ca="1" si="4"/>
        <v>31</v>
      </c>
      <c r="AD13" s="2">
        <v>0</v>
      </c>
      <c r="AE13" s="2" t="s">
        <v>23</v>
      </c>
      <c r="AF13" s="2" t="str">
        <f t="shared" si="0"/>
        <v>6</v>
      </c>
    </row>
    <row r="14" spans="1:32" x14ac:dyDescent="0.3">
      <c r="A14" s="199" t="s">
        <v>40</v>
      </c>
      <c r="B14" s="200"/>
      <c r="C14" s="200"/>
      <c r="D14" s="200"/>
      <c r="E14" s="200"/>
      <c r="F14" s="200"/>
      <c r="G14" s="200"/>
      <c r="H14" s="200"/>
      <c r="I14" s="200"/>
      <c r="J14" s="201"/>
      <c r="L14" s="2" t="s">
        <v>222</v>
      </c>
      <c r="M14" s="2" t="s">
        <v>31</v>
      </c>
      <c r="N14" s="2">
        <f t="shared" ca="1" si="11"/>
        <v>50</v>
      </c>
      <c r="O14" s="2">
        <v>1</v>
      </c>
      <c r="P14" s="2"/>
      <c r="Q14" s="2"/>
      <c r="R14" s="3">
        <f t="shared" ca="1" si="12"/>
        <v>50.7</v>
      </c>
      <c r="S14" s="2">
        <v>0</v>
      </c>
      <c r="T14" s="2" t="s">
        <v>23</v>
      </c>
      <c r="U14" s="2" t="str">
        <f t="shared" si="2"/>
        <v>6</v>
      </c>
      <c r="W14" s="2"/>
      <c r="X14" s="2" t="s">
        <v>46</v>
      </c>
      <c r="Y14" s="2">
        <f t="shared" ca="1" si="3"/>
        <v>30</v>
      </c>
      <c r="Z14" s="2">
        <v>1</v>
      </c>
      <c r="AA14" s="2"/>
      <c r="AB14" s="2"/>
      <c r="AC14" s="3">
        <f t="shared" ca="1" si="4"/>
        <v>31</v>
      </c>
      <c r="AD14" s="2">
        <v>0</v>
      </c>
      <c r="AE14" s="2" t="s">
        <v>23</v>
      </c>
      <c r="AF14" s="2" t="str">
        <f t="shared" si="0"/>
        <v>6</v>
      </c>
    </row>
    <row r="15" spans="1:32" x14ac:dyDescent="0.3">
      <c r="A15" s="2" t="s">
        <v>223</v>
      </c>
      <c r="B15" s="2" t="s">
        <v>40</v>
      </c>
      <c r="C15" s="2">
        <f ca="1">LOOKUP(INDIRECT("rc[-1]",),INDIRECT("总表"&amp;"!A29:A34"),INDIRECT("总表"&amp;"!B29:B34"))</f>
        <v>40</v>
      </c>
      <c r="D15" s="2">
        <v>1</v>
      </c>
      <c r="E15" s="2"/>
      <c r="F15" s="2"/>
      <c r="G15" s="3">
        <f ca="1">IF(SUM(C15:E15)&lt;=50,SUM(C15:E15),IF(SUM(C15:E15)&lt;=80,(SUM(C15:E15)-50)*0.7+50,(SUM(C15:E15)-80)*0.4+71))+F15</f>
        <v>41</v>
      </c>
      <c r="H15" s="2">
        <v>0</v>
      </c>
      <c r="I15" s="2" t="s">
        <v>23</v>
      </c>
      <c r="J15" s="2" t="str">
        <f t="shared" ref="J15:J18" si="13">IF(D15&lt;10,"6",IF(D15&lt;20,"9",IF(D15&lt;30,"12",18)))</f>
        <v>6</v>
      </c>
      <c r="L15" s="199" t="s">
        <v>224</v>
      </c>
      <c r="M15" s="200"/>
      <c r="N15" s="200"/>
      <c r="O15" s="200"/>
      <c r="P15" s="200"/>
      <c r="Q15" s="200"/>
      <c r="R15" s="200"/>
      <c r="S15" s="200"/>
      <c r="T15" s="200"/>
      <c r="U15" s="201"/>
      <c r="W15" s="2"/>
      <c r="X15" s="2" t="s">
        <v>46</v>
      </c>
      <c r="Y15" s="2">
        <f t="shared" ca="1" si="3"/>
        <v>30</v>
      </c>
      <c r="Z15" s="2">
        <v>1</v>
      </c>
      <c r="AA15" s="2"/>
      <c r="AB15" s="2"/>
      <c r="AC15" s="3">
        <f t="shared" ca="1" si="4"/>
        <v>31</v>
      </c>
      <c r="AD15" s="2">
        <v>0</v>
      </c>
      <c r="AE15" s="2" t="s">
        <v>23</v>
      </c>
      <c r="AF15" s="2" t="str">
        <f t="shared" si="0"/>
        <v>6</v>
      </c>
    </row>
    <row r="16" spans="1:32" x14ac:dyDescent="0.3">
      <c r="A16" s="2" t="s">
        <v>225</v>
      </c>
      <c r="B16" s="2" t="s">
        <v>40</v>
      </c>
      <c r="C16" s="2">
        <f ca="1">LOOKUP(INDIRECT("rc[-1]",),INDIRECT("总表"&amp;"!A29:A34"),INDIRECT("总表"&amp;"!B29:B34"))</f>
        <v>40</v>
      </c>
      <c r="D16" s="2">
        <v>1</v>
      </c>
      <c r="E16" s="2"/>
      <c r="F16" s="2"/>
      <c r="G16" s="3">
        <f t="shared" ref="G16:G18" ca="1" si="14">IF(SUM(C16:E16)&lt;=50,SUM(C16:E16),IF(SUM(C16:E16)&lt;=80,(SUM(C16:E16)-50)*0.7+50,(SUM(C16:E16)-80)*0.4+71))+F16</f>
        <v>41</v>
      </c>
      <c r="H16" s="2">
        <v>0</v>
      </c>
      <c r="I16" s="2" t="s">
        <v>23</v>
      </c>
      <c r="J16" s="2" t="str">
        <f t="shared" si="13"/>
        <v>6</v>
      </c>
      <c r="L16" s="2" t="s">
        <v>226</v>
      </c>
      <c r="M16" s="2" t="s">
        <v>31</v>
      </c>
      <c r="N16" s="2">
        <f ca="1">LOOKUP(INDIRECT("rc[-1]",),INDIRECT("总表"&amp;"!A29:A34"),INDIRECT("总表"&amp;"!B29:B34"))</f>
        <v>50</v>
      </c>
      <c r="O16" s="2">
        <v>1</v>
      </c>
      <c r="P16" s="2"/>
      <c r="Q16" s="2"/>
      <c r="R16" s="3">
        <f ca="1">IF(SUM(N16:P16)&lt;=50,SUM(N16:P16),IF(SUM(N16:P16)&lt;=80,(SUM(N16:P16)-50)*0.7+50,(SUM(N16:P16)-80)*0.4+71))+Q16</f>
        <v>50.7</v>
      </c>
      <c r="S16" s="2">
        <v>0</v>
      </c>
      <c r="T16" s="2" t="s">
        <v>23</v>
      </c>
      <c r="U16" s="2" t="str">
        <f t="shared" si="2"/>
        <v>6</v>
      </c>
      <c r="W16" s="2"/>
      <c r="X16" s="2" t="s">
        <v>46</v>
      </c>
      <c r="Y16" s="2">
        <f t="shared" ca="1" si="3"/>
        <v>30</v>
      </c>
      <c r="Z16" s="2">
        <v>1</v>
      </c>
      <c r="AA16" s="2"/>
      <c r="AB16" s="2"/>
      <c r="AC16" s="3">
        <f t="shared" ca="1" si="4"/>
        <v>31</v>
      </c>
      <c r="AD16" s="2">
        <v>0</v>
      </c>
      <c r="AE16" s="2" t="s">
        <v>23</v>
      </c>
      <c r="AF16" s="2" t="str">
        <f t="shared" si="0"/>
        <v>6</v>
      </c>
    </row>
    <row r="17" spans="1:32" x14ac:dyDescent="0.3">
      <c r="A17" s="2" t="s">
        <v>79</v>
      </c>
      <c r="B17" s="2" t="s">
        <v>40</v>
      </c>
      <c r="C17" s="2">
        <f t="shared" ref="C17:C18" ca="1" si="15">LOOKUP(INDIRECT("rc[-1]",),INDIRECT("总表"&amp;"!A29:A34"),INDIRECT("总表"&amp;"!B29:B34"))</f>
        <v>40</v>
      </c>
      <c r="D17" s="2">
        <v>1</v>
      </c>
      <c r="E17" s="2"/>
      <c r="F17" s="2"/>
      <c r="G17" s="3">
        <f t="shared" ca="1" si="14"/>
        <v>41</v>
      </c>
      <c r="H17" s="2">
        <v>0</v>
      </c>
      <c r="I17" s="2" t="s">
        <v>23</v>
      </c>
      <c r="J17" s="2" t="str">
        <f t="shared" si="13"/>
        <v>6</v>
      </c>
      <c r="L17" s="2" t="s">
        <v>227</v>
      </c>
      <c r="M17" s="2" t="s">
        <v>11</v>
      </c>
      <c r="N17" s="2">
        <f t="shared" ref="N17:N20" ca="1" si="16">LOOKUP(INDIRECT("rc[-1]",),INDIRECT("总表"&amp;"!A29:A34"),INDIRECT("总表"&amp;"!B29:B34"))</f>
        <v>50</v>
      </c>
      <c r="O17" s="2">
        <v>1</v>
      </c>
      <c r="P17" s="2"/>
      <c r="Q17" s="2"/>
      <c r="R17" s="3">
        <f t="shared" ref="R17:R20" ca="1" si="17">IF(SUM(N17:P17)&lt;=50,SUM(N17:P17),IF(SUM(N17:P17)&lt;=80,(SUM(N17:P17)-50)*0.7+50,(SUM(N17:P17)-80)*0.4+71))+Q17</f>
        <v>50.7</v>
      </c>
      <c r="S17" s="2">
        <v>0</v>
      </c>
      <c r="T17" s="2" t="s">
        <v>23</v>
      </c>
      <c r="U17" s="2" t="str">
        <f t="shared" si="2"/>
        <v>6</v>
      </c>
      <c r="W17" s="2"/>
      <c r="X17" s="2" t="s">
        <v>46</v>
      </c>
      <c r="Y17" s="2">
        <f t="shared" ca="1" si="3"/>
        <v>30</v>
      </c>
      <c r="Z17" s="2">
        <v>1</v>
      </c>
      <c r="AA17" s="2"/>
      <c r="AB17" s="2"/>
      <c r="AC17" s="3">
        <f t="shared" ca="1" si="4"/>
        <v>31</v>
      </c>
      <c r="AD17" s="2">
        <v>0</v>
      </c>
      <c r="AE17" s="2" t="s">
        <v>23</v>
      </c>
      <c r="AF17" s="2" t="str">
        <f t="shared" si="0"/>
        <v>6</v>
      </c>
    </row>
    <row r="18" spans="1:32" x14ac:dyDescent="0.3">
      <c r="A18" s="2" t="s">
        <v>228</v>
      </c>
      <c r="B18" s="2" t="s">
        <v>40</v>
      </c>
      <c r="C18" s="2">
        <f t="shared" ca="1" si="15"/>
        <v>40</v>
      </c>
      <c r="D18" s="2">
        <v>1</v>
      </c>
      <c r="E18" s="2"/>
      <c r="F18" s="2"/>
      <c r="G18" s="3">
        <f t="shared" ca="1" si="14"/>
        <v>41</v>
      </c>
      <c r="H18" s="2">
        <v>0</v>
      </c>
      <c r="I18" s="2" t="s">
        <v>23</v>
      </c>
      <c r="J18" s="2" t="str">
        <f t="shared" si="13"/>
        <v>6</v>
      </c>
      <c r="L18" s="2" t="s">
        <v>229</v>
      </c>
      <c r="M18" s="2" t="s">
        <v>11</v>
      </c>
      <c r="N18" s="2">
        <f t="shared" ca="1" si="16"/>
        <v>50</v>
      </c>
      <c r="O18" s="2">
        <v>1</v>
      </c>
      <c r="P18" s="2"/>
      <c r="Q18" s="2"/>
      <c r="R18" s="3">
        <f t="shared" ca="1" si="17"/>
        <v>50.7</v>
      </c>
      <c r="S18" s="2">
        <v>0</v>
      </c>
      <c r="T18" s="2" t="s">
        <v>23</v>
      </c>
      <c r="U18" s="2" t="str">
        <f t="shared" si="2"/>
        <v>6</v>
      </c>
      <c r="W18" s="2"/>
      <c r="X18" s="2" t="s">
        <v>46</v>
      </c>
      <c r="Y18" s="2">
        <f t="shared" ca="1" si="3"/>
        <v>30</v>
      </c>
      <c r="Z18" s="2">
        <v>1</v>
      </c>
      <c r="AA18" s="2"/>
      <c r="AB18" s="2"/>
      <c r="AC18" s="3">
        <f t="shared" ca="1" si="4"/>
        <v>31</v>
      </c>
      <c r="AD18" s="2">
        <v>0</v>
      </c>
      <c r="AE18" s="2" t="s">
        <v>23</v>
      </c>
      <c r="AF18" s="2" t="str">
        <f t="shared" si="0"/>
        <v>6</v>
      </c>
    </row>
    <row r="19" spans="1:32" x14ac:dyDescent="0.3">
      <c r="A19" s="199" t="s">
        <v>46</v>
      </c>
      <c r="B19" s="200"/>
      <c r="C19" s="200"/>
      <c r="D19" s="200"/>
      <c r="E19" s="200"/>
      <c r="F19" s="200"/>
      <c r="G19" s="200"/>
      <c r="H19" s="200"/>
      <c r="I19" s="200"/>
      <c r="J19" s="201"/>
      <c r="L19" s="2" t="s">
        <v>230</v>
      </c>
      <c r="M19" s="2" t="s">
        <v>11</v>
      </c>
      <c r="N19" s="2">
        <f t="shared" ca="1" si="16"/>
        <v>50</v>
      </c>
      <c r="O19" s="2">
        <v>1</v>
      </c>
      <c r="P19" s="2"/>
      <c r="Q19" s="2"/>
      <c r="R19" s="3">
        <f t="shared" ca="1" si="17"/>
        <v>50.7</v>
      </c>
      <c r="S19" s="2">
        <v>0</v>
      </c>
      <c r="T19" s="2" t="s">
        <v>23</v>
      </c>
      <c r="U19" s="2" t="str">
        <f t="shared" si="2"/>
        <v>6</v>
      </c>
      <c r="W19" s="2"/>
      <c r="X19" s="2" t="s">
        <v>46</v>
      </c>
      <c r="Y19" s="2">
        <f t="shared" ca="1" si="3"/>
        <v>30</v>
      </c>
      <c r="Z19" s="2">
        <v>1</v>
      </c>
      <c r="AA19" s="2"/>
      <c r="AB19" s="2"/>
      <c r="AC19" s="3">
        <f t="shared" ca="1" si="4"/>
        <v>31</v>
      </c>
      <c r="AD19" s="2">
        <v>0</v>
      </c>
      <c r="AE19" s="2" t="s">
        <v>23</v>
      </c>
      <c r="AF19" s="2" t="str">
        <f t="shared" si="0"/>
        <v>6</v>
      </c>
    </row>
    <row r="20" spans="1:32" x14ac:dyDescent="0.3">
      <c r="A20" s="2" t="s">
        <v>231</v>
      </c>
      <c r="B20" s="2" t="s">
        <v>46</v>
      </c>
      <c r="C20" s="2">
        <f ca="1">LOOKUP(INDIRECT("rc[-1]",),INDIRECT("总表"&amp;"!A29:A34"),INDIRECT("总表"&amp;"!B29:B34"))</f>
        <v>30</v>
      </c>
      <c r="D20" s="2">
        <v>1</v>
      </c>
      <c r="E20" s="2"/>
      <c r="F20" s="2"/>
      <c r="G20" s="3">
        <f ca="1">IF(SUM(C20:E20)&lt;=50,SUM(C20:E20),IF(SUM(C20:E20)&lt;=80,(SUM(C20:E20)-50)*0.7+50,(SUM(C20:E20)-80)*0.4+71))+F20</f>
        <v>31</v>
      </c>
      <c r="H20" s="2">
        <v>0</v>
      </c>
      <c r="I20" s="2" t="s">
        <v>23</v>
      </c>
      <c r="J20" s="2" t="str">
        <f t="shared" ref="J20:J32" si="18">IF(D20&lt;10,"6",IF(D20&lt;20,"9",IF(D20&lt;30,"12",18)))</f>
        <v>6</v>
      </c>
      <c r="L20" s="2" t="s">
        <v>232</v>
      </c>
      <c r="M20" s="2" t="s">
        <v>31</v>
      </c>
      <c r="N20" s="2">
        <f t="shared" ca="1" si="16"/>
        <v>50</v>
      </c>
      <c r="O20" s="2">
        <v>1</v>
      </c>
      <c r="P20" s="2"/>
      <c r="Q20" s="2"/>
      <c r="R20" s="3">
        <f t="shared" ca="1" si="17"/>
        <v>50.7</v>
      </c>
      <c r="S20" s="2">
        <v>0</v>
      </c>
      <c r="T20" s="2" t="s">
        <v>23</v>
      </c>
      <c r="U20" s="2" t="str">
        <f t="shared" si="2"/>
        <v>6</v>
      </c>
      <c r="W20" s="2"/>
      <c r="X20" s="2" t="s">
        <v>46</v>
      </c>
      <c r="Y20" s="2">
        <f t="shared" ca="1" si="3"/>
        <v>30</v>
      </c>
      <c r="Z20" s="2">
        <v>1</v>
      </c>
      <c r="AA20" s="2"/>
      <c r="AB20" s="2"/>
      <c r="AC20" s="3">
        <f t="shared" ca="1" si="4"/>
        <v>31</v>
      </c>
      <c r="AD20" s="2">
        <v>0</v>
      </c>
      <c r="AE20" s="2" t="s">
        <v>23</v>
      </c>
      <c r="AF20" s="2" t="str">
        <f t="shared" si="0"/>
        <v>6</v>
      </c>
    </row>
    <row r="21" spans="1:32" x14ac:dyDescent="0.3">
      <c r="A21" s="2" t="s">
        <v>59</v>
      </c>
      <c r="B21" s="2" t="s">
        <v>46</v>
      </c>
      <c r="C21" s="2">
        <f t="shared" ref="C21:C25" ca="1" si="19">LOOKUP(INDIRECT("rc[-1]",),INDIRECT("总表"&amp;"!A29:A34"),INDIRECT("总表"&amp;"!B29:B34"))</f>
        <v>30</v>
      </c>
      <c r="D21" s="2">
        <v>1</v>
      </c>
      <c r="E21" s="2"/>
      <c r="F21" s="2"/>
      <c r="G21" s="3">
        <f t="shared" ref="G21:G25" ca="1" si="20">IF(SUM(C21:E21)&lt;=50,SUM(C21:E21),IF(SUM(C21:E21)&lt;=80,(SUM(C21:E21)-50)*0.7+50,(SUM(C21:E21)-80)*0.4+71))+F21</f>
        <v>31</v>
      </c>
      <c r="H21" s="2">
        <v>0</v>
      </c>
      <c r="I21" s="2" t="s">
        <v>23</v>
      </c>
      <c r="J21" s="2" t="str">
        <f t="shared" si="18"/>
        <v>6</v>
      </c>
      <c r="L21" s="199" t="s">
        <v>233</v>
      </c>
      <c r="M21" s="200"/>
      <c r="N21" s="200"/>
      <c r="O21" s="200"/>
      <c r="P21" s="200"/>
      <c r="Q21" s="200"/>
      <c r="R21" s="200"/>
      <c r="S21" s="200"/>
      <c r="T21" s="200"/>
      <c r="U21" s="201"/>
      <c r="W21" s="2"/>
      <c r="X21" s="2" t="s">
        <v>46</v>
      </c>
      <c r="Y21" s="2">
        <f t="shared" ca="1" si="3"/>
        <v>30</v>
      </c>
      <c r="Z21" s="2">
        <v>1</v>
      </c>
      <c r="AA21" s="2"/>
      <c r="AB21" s="2"/>
      <c r="AC21" s="3">
        <f t="shared" ca="1" si="4"/>
        <v>31</v>
      </c>
      <c r="AD21" s="2">
        <v>0</v>
      </c>
      <c r="AE21" s="2" t="s">
        <v>23</v>
      </c>
      <c r="AF21" s="2" t="str">
        <f t="shared" si="0"/>
        <v>6</v>
      </c>
    </row>
    <row r="22" spans="1:32" x14ac:dyDescent="0.3">
      <c r="A22" s="2" t="s">
        <v>234</v>
      </c>
      <c r="B22" s="2" t="s">
        <v>46</v>
      </c>
      <c r="C22" s="2">
        <f t="shared" ca="1" si="19"/>
        <v>30</v>
      </c>
      <c r="D22" s="2">
        <v>1</v>
      </c>
      <c r="E22" s="2"/>
      <c r="F22" s="2"/>
      <c r="G22" s="3">
        <f t="shared" ca="1" si="20"/>
        <v>31</v>
      </c>
      <c r="H22" s="2">
        <v>0</v>
      </c>
      <c r="I22" s="2" t="s">
        <v>23</v>
      </c>
      <c r="J22" s="2" t="str">
        <f t="shared" si="18"/>
        <v>6</v>
      </c>
      <c r="L22" s="2" t="s">
        <v>179</v>
      </c>
      <c r="M22" s="2" t="s">
        <v>11</v>
      </c>
      <c r="N22" s="2">
        <f ca="1">LOOKUP(INDIRECT("rc[-1]",),INDIRECT("总表"&amp;"!A29:A34"),INDIRECT("总表"&amp;"!B29:B34"))</f>
        <v>50</v>
      </c>
      <c r="O22" s="2">
        <v>1</v>
      </c>
      <c r="P22" s="2"/>
      <c r="Q22" s="2"/>
      <c r="R22" s="3">
        <f ca="1">IF(SUM(N22:P22)&lt;=50,SUM(N22:P22),IF(SUM(N22:P22)&lt;=80,(SUM(N22:P22)-50)*0.7+50,(SUM(N22:P22)-80)*0.4+71))+Q22</f>
        <v>50.7</v>
      </c>
      <c r="S22" s="2">
        <v>0</v>
      </c>
      <c r="T22" s="2" t="s">
        <v>23</v>
      </c>
      <c r="U22" s="2" t="str">
        <f t="shared" si="2"/>
        <v>6</v>
      </c>
      <c r="W22" s="24"/>
      <c r="X22" s="2" t="s">
        <v>46</v>
      </c>
      <c r="Y22" s="2">
        <f t="shared" ca="1" si="3"/>
        <v>30</v>
      </c>
      <c r="Z22" s="2">
        <v>1</v>
      </c>
      <c r="AA22" s="2"/>
      <c r="AB22" s="2"/>
      <c r="AC22" s="3">
        <f t="shared" ca="1" si="4"/>
        <v>31</v>
      </c>
      <c r="AD22" s="2">
        <v>0</v>
      </c>
      <c r="AE22" s="2" t="s">
        <v>23</v>
      </c>
      <c r="AF22" s="2" t="str">
        <f t="shared" si="0"/>
        <v>6</v>
      </c>
    </row>
    <row r="23" spans="1:32" x14ac:dyDescent="0.3">
      <c r="A23" s="2" t="s">
        <v>235</v>
      </c>
      <c r="B23" s="2" t="s">
        <v>46</v>
      </c>
      <c r="C23" s="2">
        <f t="shared" ca="1" si="19"/>
        <v>30</v>
      </c>
      <c r="D23" s="2">
        <v>1</v>
      </c>
      <c r="E23" s="2"/>
      <c r="F23" s="2"/>
      <c r="G23" s="3">
        <f t="shared" ca="1" si="20"/>
        <v>31</v>
      </c>
      <c r="H23" s="2">
        <v>0</v>
      </c>
      <c r="I23" s="2" t="s">
        <v>23</v>
      </c>
      <c r="J23" s="2" t="str">
        <f t="shared" si="18"/>
        <v>6</v>
      </c>
      <c r="L23" s="2" t="s">
        <v>84</v>
      </c>
      <c r="M23" s="2" t="s">
        <v>11</v>
      </c>
      <c r="N23" s="2">
        <f t="shared" ref="N23:N25" ca="1" si="21">LOOKUP(INDIRECT("rc[-1]",),INDIRECT("总表"&amp;"!A29:A34"),INDIRECT("总表"&amp;"!B29:B34"))</f>
        <v>50</v>
      </c>
      <c r="O23" s="2">
        <v>1</v>
      </c>
      <c r="P23" s="2"/>
      <c r="Q23" s="2"/>
      <c r="R23" s="3">
        <f t="shared" ref="R23:R25" ca="1" si="22">IF(SUM(N23:P23)&lt;=50,SUM(N23:P23),IF(SUM(N23:P23)&lt;=80,(SUM(N23:P23)-50)*0.7+50,(SUM(N23:P23)-80)*0.4+71))+Q23</f>
        <v>50.7</v>
      </c>
      <c r="S23" s="2">
        <v>0</v>
      </c>
      <c r="T23" s="2" t="s">
        <v>23</v>
      </c>
      <c r="U23" s="2" t="str">
        <f t="shared" si="2"/>
        <v>6</v>
      </c>
      <c r="W23" s="2"/>
      <c r="X23" s="2" t="s">
        <v>46</v>
      </c>
      <c r="Y23" s="2">
        <f t="shared" ca="1" si="3"/>
        <v>30</v>
      </c>
      <c r="Z23" s="2">
        <v>1</v>
      </c>
      <c r="AA23" s="2"/>
      <c r="AB23" s="2"/>
      <c r="AC23" s="3">
        <f t="shared" ca="1" si="4"/>
        <v>31</v>
      </c>
      <c r="AD23" s="2">
        <v>0</v>
      </c>
      <c r="AE23" s="2" t="s">
        <v>23</v>
      </c>
      <c r="AF23" s="2" t="str">
        <f t="shared" si="0"/>
        <v>6</v>
      </c>
    </row>
    <row r="24" spans="1:32" x14ac:dyDescent="0.3">
      <c r="A24" s="2" t="s">
        <v>236</v>
      </c>
      <c r="B24" s="2" t="s">
        <v>46</v>
      </c>
      <c r="C24" s="2">
        <f t="shared" ca="1" si="19"/>
        <v>30</v>
      </c>
      <c r="D24" s="2">
        <v>1</v>
      </c>
      <c r="E24" s="2"/>
      <c r="F24" s="2"/>
      <c r="G24" s="3">
        <f t="shared" ca="1" si="20"/>
        <v>31</v>
      </c>
      <c r="H24" s="2">
        <v>0</v>
      </c>
      <c r="I24" s="2" t="s">
        <v>23</v>
      </c>
      <c r="J24" s="2" t="str">
        <f t="shared" si="18"/>
        <v>6</v>
      </c>
      <c r="L24" s="2" t="s">
        <v>237</v>
      </c>
      <c r="M24" s="2" t="s">
        <v>11</v>
      </c>
      <c r="N24" s="2">
        <f t="shared" ca="1" si="21"/>
        <v>50</v>
      </c>
      <c r="O24" s="2">
        <v>1</v>
      </c>
      <c r="P24" s="2"/>
      <c r="Q24" s="2"/>
      <c r="R24" s="3">
        <f t="shared" ca="1" si="22"/>
        <v>50.7</v>
      </c>
      <c r="S24" s="2">
        <v>0</v>
      </c>
      <c r="T24" s="2" t="s">
        <v>23</v>
      </c>
      <c r="U24" s="2" t="str">
        <f t="shared" si="2"/>
        <v>6</v>
      </c>
      <c r="W24" s="2"/>
      <c r="X24" s="2" t="s">
        <v>46</v>
      </c>
      <c r="Y24" s="2">
        <f t="shared" ca="1" si="3"/>
        <v>30</v>
      </c>
      <c r="Z24" s="2">
        <v>1</v>
      </c>
      <c r="AA24" s="2"/>
      <c r="AB24" s="2"/>
      <c r="AC24" s="3">
        <f t="shared" ca="1" si="4"/>
        <v>31</v>
      </c>
      <c r="AD24" s="2">
        <v>0</v>
      </c>
      <c r="AE24" s="2" t="s">
        <v>23</v>
      </c>
      <c r="AF24" s="2" t="str">
        <f t="shared" si="0"/>
        <v>6</v>
      </c>
    </row>
    <row r="25" spans="1:32" ht="15" thickTop="1" thickBot="1" x14ac:dyDescent="0.35">
      <c r="A25" s="2" t="s">
        <v>238</v>
      </c>
      <c r="B25" s="2" t="s">
        <v>46</v>
      </c>
      <c r="C25" s="2">
        <f t="shared" ca="1" si="19"/>
        <v>30</v>
      </c>
      <c r="D25" s="2">
        <v>1</v>
      </c>
      <c r="E25" s="2"/>
      <c r="F25" s="2"/>
      <c r="G25" s="3">
        <f t="shared" ca="1" si="20"/>
        <v>31</v>
      </c>
      <c r="H25" s="2">
        <v>0</v>
      </c>
      <c r="I25" s="2" t="s">
        <v>23</v>
      </c>
      <c r="J25" s="2" t="str">
        <f t="shared" si="18"/>
        <v>6</v>
      </c>
      <c r="L25" s="2" t="s">
        <v>239</v>
      </c>
      <c r="M25" s="2" t="s">
        <v>11</v>
      </c>
      <c r="N25" s="2">
        <f t="shared" ca="1" si="21"/>
        <v>50</v>
      </c>
      <c r="O25" s="2">
        <v>1</v>
      </c>
      <c r="P25" s="2"/>
      <c r="Q25" s="2"/>
      <c r="R25" s="3">
        <f t="shared" ca="1" si="22"/>
        <v>50.7</v>
      </c>
      <c r="S25" s="2">
        <v>0</v>
      </c>
      <c r="T25" s="2" t="s">
        <v>23</v>
      </c>
      <c r="U25" s="2" t="str">
        <f t="shared" si="2"/>
        <v>6</v>
      </c>
      <c r="W25" s="2"/>
      <c r="X25" s="2" t="s">
        <v>46</v>
      </c>
      <c r="Y25" s="2">
        <f t="shared" ca="1" si="3"/>
        <v>30</v>
      </c>
      <c r="Z25" s="2">
        <v>1</v>
      </c>
      <c r="AA25" s="2"/>
      <c r="AB25" s="2"/>
      <c r="AC25" s="3">
        <f t="shared" ca="1" si="4"/>
        <v>31</v>
      </c>
      <c r="AD25" s="2">
        <v>0</v>
      </c>
      <c r="AE25" s="2" t="s">
        <v>23</v>
      </c>
      <c r="AF25" s="2" t="str">
        <f t="shared" si="0"/>
        <v>6</v>
      </c>
    </row>
    <row r="26" spans="1:32" ht="15" thickTop="1" thickBot="1" x14ac:dyDescent="0.35">
      <c r="A26" s="199" t="s">
        <v>55</v>
      </c>
      <c r="B26" s="200"/>
      <c r="C26" s="200"/>
      <c r="D26" s="200"/>
      <c r="E26" s="200"/>
      <c r="F26" s="200"/>
      <c r="G26" s="200"/>
      <c r="H26" s="200"/>
      <c r="I26" s="200"/>
      <c r="J26" s="201"/>
      <c r="L26" s="2" t="s">
        <v>244</v>
      </c>
      <c r="M26" s="2" t="s">
        <v>11</v>
      </c>
      <c r="N26" s="2">
        <f ca="1">LOOKUP(INDIRECT("rc[-1]",),INDIRECT("总表"&amp;"!A29:A34"),INDIRECT("总表"&amp;"!B29:B34"))</f>
        <v>50</v>
      </c>
      <c r="O26" s="2">
        <v>1</v>
      </c>
      <c r="P26" s="2"/>
      <c r="Q26" s="2"/>
      <c r="R26" s="3">
        <f ca="1">IF(SUM(N26:P26)&lt;=50,SUM(N26:P26),IF(SUM(N26:P26)&lt;=80,(SUM(N26:P26)-50)*0.7+50,(SUM(N26:P26)-80)*0.4+71))+Q26</f>
        <v>50.7</v>
      </c>
      <c r="S26" s="2">
        <v>0</v>
      </c>
      <c r="T26" s="2" t="s">
        <v>23</v>
      </c>
      <c r="U26" s="2" t="str">
        <f>IF(O26&lt;10,"6",IF(O26&lt;20,"9",IF(O26&lt;30,"12",18)))</f>
        <v>6</v>
      </c>
      <c r="W26" s="2"/>
      <c r="X26" s="2" t="s">
        <v>46</v>
      </c>
      <c r="Y26" s="2">
        <f t="shared" ca="1" si="3"/>
        <v>30</v>
      </c>
      <c r="Z26" s="2">
        <v>1</v>
      </c>
      <c r="AA26" s="2"/>
      <c r="AB26" s="2"/>
      <c r="AC26" s="3">
        <f t="shared" ca="1" si="4"/>
        <v>31</v>
      </c>
      <c r="AD26" s="2">
        <v>0</v>
      </c>
      <c r="AE26" s="2" t="s">
        <v>23</v>
      </c>
      <c r="AF26" s="2" t="str">
        <f t="shared" si="0"/>
        <v>6</v>
      </c>
    </row>
    <row r="27" spans="1:32" ht="15" thickTop="1" thickBot="1" x14ac:dyDescent="0.35">
      <c r="A27" s="2" t="s">
        <v>241</v>
      </c>
      <c r="B27" s="2" t="s">
        <v>55</v>
      </c>
      <c r="C27" s="2">
        <f ca="1">LOOKUP(INDIRECT("rc[-1]",),INDIRECT("总表"&amp;"!A29:A34"),INDIRECT("总表"&amp;"!B29:B34"))</f>
        <v>40</v>
      </c>
      <c r="D27" s="2">
        <v>1</v>
      </c>
      <c r="E27" s="2"/>
      <c r="F27" s="2"/>
      <c r="G27" s="3">
        <f ca="1">IF(SUM(C27:E27)&lt;=50,SUM(C27:E27),IF(SUM(C27:E27)&lt;=80,(SUM(C27:E27)-50)*0.7+50,(SUM(C27:E27)-80)*0.4+71))+F27</f>
        <v>41</v>
      </c>
      <c r="H27" s="2">
        <v>0</v>
      </c>
      <c r="I27" s="2" t="s">
        <v>23</v>
      </c>
      <c r="J27" s="2" t="str">
        <f t="shared" si="18"/>
        <v>6</v>
      </c>
      <c r="L27" s="199" t="s">
        <v>240</v>
      </c>
      <c r="M27" s="200"/>
      <c r="N27" s="200"/>
      <c r="O27" s="200"/>
      <c r="P27" s="200"/>
      <c r="Q27" s="200"/>
      <c r="R27" s="200"/>
      <c r="S27" s="200"/>
      <c r="T27" s="200"/>
      <c r="U27" s="201"/>
      <c r="W27" s="2"/>
      <c r="X27" s="2" t="s">
        <v>46</v>
      </c>
      <c r="Y27" s="2">
        <f t="shared" ca="1" si="3"/>
        <v>30</v>
      </c>
      <c r="Z27" s="2">
        <v>1</v>
      </c>
      <c r="AA27" s="2"/>
      <c r="AB27" s="2"/>
      <c r="AC27" s="3">
        <f t="shared" ca="1" si="4"/>
        <v>31</v>
      </c>
      <c r="AD27" s="2">
        <v>0</v>
      </c>
      <c r="AE27" s="2" t="s">
        <v>23</v>
      </c>
      <c r="AF27" s="2" t="str">
        <f t="shared" si="0"/>
        <v>6</v>
      </c>
    </row>
    <row r="28" spans="1:32" ht="15" thickTop="1" thickBot="1" x14ac:dyDescent="0.35">
      <c r="A28" s="2" t="s">
        <v>243</v>
      </c>
      <c r="B28" s="2" t="s">
        <v>55</v>
      </c>
      <c r="C28" s="2">
        <f t="shared" ref="C28:C29" ca="1" si="23">LOOKUP(INDIRECT("rc[-1]",),INDIRECT("总表"&amp;"!A29:A34"),INDIRECT("总表"&amp;"!B29:B34"))</f>
        <v>40</v>
      </c>
      <c r="D28" s="2">
        <v>1</v>
      </c>
      <c r="E28" s="2"/>
      <c r="F28" s="2"/>
      <c r="G28" s="3">
        <f t="shared" ref="G28:G32" ca="1" si="24">IF(SUM(C28:E28)&lt;=50,SUM(C28:E28),IF(SUM(C28:E28)&lt;=80,(SUM(C28:E28)-50)*0.7+50,(SUM(C28:E28)-80)*0.4+71))+F28</f>
        <v>41</v>
      </c>
      <c r="H28" s="2">
        <v>0</v>
      </c>
      <c r="I28" s="2" t="s">
        <v>23</v>
      </c>
      <c r="J28" s="2" t="str">
        <f t="shared" si="18"/>
        <v>6</v>
      </c>
      <c r="L28" s="2" t="s">
        <v>242</v>
      </c>
      <c r="M28" s="2" t="s">
        <v>11</v>
      </c>
      <c r="N28" s="2">
        <f ca="1">LOOKUP(INDIRECT("rc[-1]",),INDIRECT("总表"&amp;"!A29:A34"),INDIRECT("总表"&amp;"!B29:B34"))</f>
        <v>50</v>
      </c>
      <c r="O28" s="2">
        <v>1</v>
      </c>
      <c r="P28" s="2"/>
      <c r="Q28" s="2"/>
      <c r="R28" s="3">
        <f ca="1">IF(SUM(N28:P28)&lt;=50,SUM(N28:P28),IF(SUM(N28:P28)&lt;=80,(SUM(N28:P28)-50)*0.7+50,(SUM(N28:P28)-80)*0.4+71))+Q28</f>
        <v>50.7</v>
      </c>
      <c r="S28" s="2">
        <v>0</v>
      </c>
      <c r="T28" s="2" t="s">
        <v>23</v>
      </c>
      <c r="U28" s="2" t="str">
        <f>IF(O28&lt;10,"6",IF(O28&lt;20,"9",IF(O28&lt;30,"12",18)))</f>
        <v>6</v>
      </c>
      <c r="W28" s="2"/>
      <c r="X28" s="2" t="s">
        <v>46</v>
      </c>
      <c r="Y28" s="2">
        <f t="shared" ca="1" si="3"/>
        <v>30</v>
      </c>
      <c r="Z28" s="2">
        <v>1</v>
      </c>
      <c r="AA28" s="2"/>
      <c r="AB28" s="2"/>
      <c r="AC28" s="3">
        <f t="shared" ca="1" si="4"/>
        <v>31</v>
      </c>
      <c r="AD28" s="2">
        <v>0</v>
      </c>
      <c r="AE28" s="2" t="s">
        <v>23</v>
      </c>
      <c r="AF28" s="2" t="str">
        <f t="shared" si="0"/>
        <v>6</v>
      </c>
    </row>
    <row r="29" spans="1:32" ht="15" thickTop="1" thickBot="1" x14ac:dyDescent="0.35">
      <c r="A29" s="2" t="s">
        <v>245</v>
      </c>
      <c r="B29" s="2" t="s">
        <v>55</v>
      </c>
      <c r="C29" s="2">
        <f t="shared" ca="1" si="23"/>
        <v>40</v>
      </c>
      <c r="D29" s="2">
        <v>1</v>
      </c>
      <c r="E29" s="2"/>
      <c r="F29" s="2"/>
      <c r="G29" s="3">
        <f t="shared" ca="1" si="24"/>
        <v>41</v>
      </c>
      <c r="H29" s="2">
        <v>0</v>
      </c>
      <c r="I29" s="2" t="s">
        <v>23</v>
      </c>
      <c r="J29" s="2" t="str">
        <f t="shared" si="18"/>
        <v>6</v>
      </c>
      <c r="L29" s="2" t="s">
        <v>246</v>
      </c>
      <c r="M29" s="2" t="s">
        <v>11</v>
      </c>
      <c r="N29" s="2">
        <f t="shared" ref="N29:N30" ca="1" si="25">LOOKUP(INDIRECT("rc[-1]",),INDIRECT("总表"&amp;"!A29:A34"),INDIRECT("总表"&amp;"!B29:B34"))</f>
        <v>50</v>
      </c>
      <c r="O29" s="2">
        <v>1</v>
      </c>
      <c r="P29" s="2"/>
      <c r="Q29" s="2"/>
      <c r="R29" s="3">
        <f t="shared" ref="R29:R30" ca="1" si="26">IF(SUM(N29:P29)&lt;=50,SUM(N29:P29),IF(SUM(N29:P29)&lt;=80,(SUM(N29:P29)-50)*0.7+50,(SUM(N29:P29)-80)*0.4+71))+Q29</f>
        <v>50.7</v>
      </c>
      <c r="S29" s="2">
        <v>0</v>
      </c>
      <c r="T29" s="2" t="s">
        <v>23</v>
      </c>
      <c r="U29" s="2" t="str">
        <f t="shared" si="2"/>
        <v>6</v>
      </c>
    </row>
    <row r="30" spans="1:32" x14ac:dyDescent="0.3">
      <c r="A30" s="199" t="s">
        <v>61</v>
      </c>
      <c r="B30" s="200"/>
      <c r="C30" s="200"/>
      <c r="D30" s="200"/>
      <c r="E30" s="200"/>
      <c r="F30" s="200"/>
      <c r="G30" s="200"/>
      <c r="H30" s="200"/>
      <c r="I30" s="200"/>
      <c r="J30" s="201"/>
      <c r="L30" s="2" t="s">
        <v>247</v>
      </c>
      <c r="M30" s="2" t="s">
        <v>11</v>
      </c>
      <c r="N30" s="2">
        <f t="shared" ca="1" si="25"/>
        <v>50</v>
      </c>
      <c r="O30" s="2">
        <v>1</v>
      </c>
      <c r="P30" s="2"/>
      <c r="Q30" s="2"/>
      <c r="R30" s="3">
        <f t="shared" ca="1" si="26"/>
        <v>50.7</v>
      </c>
      <c r="S30" s="2">
        <v>0</v>
      </c>
      <c r="T30" s="2" t="s">
        <v>23</v>
      </c>
      <c r="U30" s="2" t="str">
        <f t="shared" si="2"/>
        <v>6</v>
      </c>
    </row>
    <row r="31" spans="1:32" x14ac:dyDescent="0.3">
      <c r="A31" s="2" t="s">
        <v>248</v>
      </c>
      <c r="B31" s="2" t="s">
        <v>61</v>
      </c>
      <c r="C31" s="2">
        <f ca="1">LOOKUP(INDIRECT("rc[-1]",),INDIRECT("总表"&amp;"!A29:A34"),INDIRECT("总表"&amp;"!B29:B34"))</f>
        <v>30</v>
      </c>
      <c r="D31" s="2">
        <v>1</v>
      </c>
      <c r="E31" s="2"/>
      <c r="F31" s="2"/>
      <c r="G31" s="3">
        <f t="shared" ca="1" si="24"/>
        <v>31</v>
      </c>
      <c r="H31" s="2">
        <v>0</v>
      </c>
      <c r="I31" s="2" t="s">
        <v>23</v>
      </c>
      <c r="J31" s="2" t="str">
        <f t="shared" si="18"/>
        <v>6</v>
      </c>
      <c r="L31" s="199" t="s">
        <v>249</v>
      </c>
      <c r="M31" s="200"/>
      <c r="N31" s="200"/>
      <c r="O31" s="200"/>
      <c r="P31" s="200"/>
      <c r="Q31" s="200"/>
      <c r="R31" s="200"/>
      <c r="S31" s="200"/>
      <c r="T31" s="200"/>
      <c r="U31" s="201"/>
    </row>
    <row r="32" spans="1:32" x14ac:dyDescent="0.3">
      <c r="A32" s="2" t="s">
        <v>250</v>
      </c>
      <c r="B32" s="2" t="s">
        <v>61</v>
      </c>
      <c r="C32" s="2">
        <f ca="1">LOOKUP(INDIRECT("rc[-1]",),INDIRECT("总表"&amp;"!A29:A34"),INDIRECT("总表"&amp;"!B29:B34"))</f>
        <v>30</v>
      </c>
      <c r="D32" s="2">
        <v>1</v>
      </c>
      <c r="E32" s="2"/>
      <c r="F32" s="2"/>
      <c r="G32" s="3">
        <f t="shared" ca="1" si="24"/>
        <v>31</v>
      </c>
      <c r="H32" s="2">
        <v>0</v>
      </c>
      <c r="I32" s="2" t="s">
        <v>23</v>
      </c>
      <c r="J32" s="2" t="str">
        <f t="shared" si="18"/>
        <v>6</v>
      </c>
      <c r="L32" s="2" t="s">
        <v>251</v>
      </c>
      <c r="M32" s="2" t="s">
        <v>11</v>
      </c>
      <c r="N32" s="2">
        <f ca="1">LOOKUP(INDIRECT("rc[-1]",),INDIRECT("总表"&amp;"!A29:A34"),INDIRECT("总表"&amp;"!B29:B34"))</f>
        <v>50</v>
      </c>
      <c r="O32" s="2">
        <v>1</v>
      </c>
      <c r="P32" s="2"/>
      <c r="Q32" s="2"/>
      <c r="R32" s="3">
        <f ca="1">IF(SUM(N32:P32)&lt;=50,SUM(N32:P32),IF(SUM(N32:P32)&lt;=80,(SUM(N32:P32)-50)*0.7+50,(SUM(N32:P32)-80)*0.4+71))+Q32</f>
        <v>50.7</v>
      </c>
      <c r="S32" s="2">
        <v>0</v>
      </c>
      <c r="T32" s="2" t="s">
        <v>23</v>
      </c>
      <c r="U32" s="2" t="str">
        <f t="shared" si="2"/>
        <v>6</v>
      </c>
    </row>
    <row r="33" spans="12:21" x14ac:dyDescent="0.3">
      <c r="L33" s="2" t="s">
        <v>252</v>
      </c>
      <c r="M33" s="2" t="s">
        <v>11</v>
      </c>
      <c r="N33" s="2">
        <f ca="1">LOOKUP(INDIRECT("rc[-1]",),INDIRECT("总表"&amp;"!A29:A34"),INDIRECT("总表"&amp;"!B29:B34"))</f>
        <v>50</v>
      </c>
      <c r="O33" s="2">
        <v>1</v>
      </c>
      <c r="P33" s="2"/>
      <c r="Q33" s="2"/>
      <c r="R33" s="3">
        <f ca="1">IF(SUM(N33:P33)&lt;=50,SUM(N33:P33),IF(SUM(N33:P33)&lt;=80,(SUM(N33:P33)-50)*0.7+50,(SUM(N33:P33)-80)*0.4+71))+Q33</f>
        <v>50.7</v>
      </c>
      <c r="S33" s="2">
        <v>0</v>
      </c>
      <c r="T33" s="2" t="s">
        <v>23</v>
      </c>
      <c r="U33" s="2" t="str">
        <f t="shared" ref="U33:U34" si="27">IF(O33&lt;10,"6",IF(O33&lt;20,"9",IF(O33&lt;30,"12",18)))</f>
        <v>6</v>
      </c>
    </row>
    <row r="34" spans="12:21" x14ac:dyDescent="0.3">
      <c r="L34" s="2" t="s">
        <v>253</v>
      </c>
      <c r="M34" s="2" t="s">
        <v>11</v>
      </c>
      <c r="N34" s="2">
        <f ca="1">LOOKUP(INDIRECT("rc[-1]",),INDIRECT("总表"&amp;"!A29:A34"),INDIRECT("总表"&amp;"!B29:B34"))</f>
        <v>50</v>
      </c>
      <c r="O34" s="2">
        <v>1</v>
      </c>
      <c r="P34" s="2"/>
      <c r="Q34" s="2"/>
      <c r="R34" s="3">
        <f ca="1">IF(SUM(N34:P34)&lt;=50,SUM(N34:P34),IF(SUM(N34:P34)&lt;=80,(SUM(N34:P34)-50)*0.7+50,(SUM(N34:P34)-80)*0.4+71))+Q34</f>
        <v>50.7</v>
      </c>
      <c r="S34" s="2">
        <v>0</v>
      </c>
      <c r="T34" s="2" t="s">
        <v>23</v>
      </c>
      <c r="U34" s="2" t="str">
        <f t="shared" si="27"/>
        <v>6</v>
      </c>
    </row>
  </sheetData>
  <protectedRanges>
    <protectedRange sqref="O27:Q27 AD5:AD28 AA5:AB28 S27 O30 O32:O34 S32:S34 S5:S25 S26 O5:Q25 O26:Q26 O28:Q28 O29:Q29 S28 S29:S30" name="武器熟练度区域_1"/>
    <protectedRange sqref="D20:F25 H20:H25 H5:H7 D5:F7 H9:H13 D9:F13 H15:H18 D15:F18 H27:H29 D27:F29 D31:F32 H31:H32 J5:J32 U27 AF4:AF28 U32:U34 U5:U25 U28:U30 U26" name="泛用技能区域_2"/>
  </protectedRanges>
  <sortState xmlns:xlrd2="http://schemas.microsoft.com/office/spreadsheetml/2017/richdata2" ref="L5:U29">
    <sortCondition ref="L5:L29"/>
  </sortState>
  <mergeCells count="22">
    <mergeCell ref="A8:J8"/>
    <mergeCell ref="L10:U10"/>
    <mergeCell ref="A14:J14"/>
    <mergeCell ref="L15:U15"/>
    <mergeCell ref="A19:J19"/>
    <mergeCell ref="L21:U21"/>
    <mergeCell ref="A26:J26"/>
    <mergeCell ref="L27:U27"/>
    <mergeCell ref="A30:J30"/>
    <mergeCell ref="L31:U31"/>
    <mergeCell ref="Z6:Z7"/>
    <mergeCell ref="AD6:AD7"/>
    <mergeCell ref="AE6:AE7"/>
    <mergeCell ref="AF6:AF7"/>
    <mergeCell ref="A1:J2"/>
    <mergeCell ref="W1:AF2"/>
    <mergeCell ref="L1:U2"/>
    <mergeCell ref="H3:J3"/>
    <mergeCell ref="S3:U3"/>
    <mergeCell ref="AD3:AF3"/>
    <mergeCell ref="A4:J4"/>
    <mergeCell ref="L4:U4"/>
  </mergeCells>
  <phoneticPr fontId="47" type="noConversion"/>
  <pageMargins left="0.7" right="0.7" top="0.75" bottom="0.75" header="0.3" footer="0.3"/>
  <pageSetup paperSize="9" orientation="portrait"/>
  <ignoredErrors>
    <ignoredError sqref="AC7 Y7" formula="1"/>
  </ignoredErrors>
  <legacy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10"/>
  <dimension ref="A1:V27"/>
  <sheetViews>
    <sheetView workbookViewId="0">
      <selection activeCell="R11" sqref="R11:V12"/>
    </sheetView>
  </sheetViews>
  <sheetFormatPr defaultColWidth="9" defaultRowHeight="20.399999999999999" customHeight="1" x14ac:dyDescent="0.3"/>
  <cols>
    <col min="12" max="12" width="9.25"/>
  </cols>
  <sheetData>
    <row r="1" spans="1:22" ht="20.399999999999999" customHeight="1" x14ac:dyDescent="0.3">
      <c r="A1" s="198" t="s">
        <v>254</v>
      </c>
      <c r="B1" s="198"/>
      <c r="C1" s="198"/>
      <c r="D1" s="198"/>
      <c r="E1" s="198"/>
      <c r="F1" s="198"/>
      <c r="G1" s="198"/>
    </row>
    <row r="2" spans="1:22" ht="20.399999999999999" customHeight="1" x14ac:dyDescent="0.3">
      <c r="A2" s="198"/>
      <c r="B2" s="198"/>
      <c r="C2" s="198"/>
      <c r="D2" s="198"/>
      <c r="E2" s="198"/>
      <c r="F2" s="198"/>
      <c r="G2" s="198"/>
    </row>
    <row r="3" spans="1:22" ht="20.399999999999999" customHeight="1" x14ac:dyDescent="0.3">
      <c r="A3" s="175" t="s">
        <v>255</v>
      </c>
      <c r="B3" s="177"/>
      <c r="C3" s="175">
        <f ca="1">IF(总表!C36=1,INT(INDIRECT("各种技能"&amp;"!G21")/6),INT(INDIRECT("各种技能"&amp;"!G21")/8))</f>
        <v>3</v>
      </c>
      <c r="D3" s="176"/>
      <c r="E3" s="176"/>
      <c r="F3" s="176"/>
      <c r="G3" s="177"/>
    </row>
    <row r="4" spans="1:22" ht="20.399999999999999" customHeight="1" x14ac:dyDescent="0.3">
      <c r="A4" s="1" t="s">
        <v>157</v>
      </c>
      <c r="B4" s="1" t="s">
        <v>156</v>
      </c>
      <c r="C4" s="175" t="s">
        <v>256</v>
      </c>
      <c r="D4" s="176"/>
      <c r="E4" s="176"/>
      <c r="F4" s="176"/>
      <c r="G4" s="177"/>
      <c r="H4" s="175" t="s">
        <v>257</v>
      </c>
      <c r="I4" s="176"/>
      <c r="J4" s="176"/>
      <c r="K4" s="176"/>
      <c r="L4" s="177"/>
      <c r="M4" s="175" t="s">
        <v>258</v>
      </c>
      <c r="N4" s="176"/>
      <c r="O4" s="176"/>
      <c r="P4" s="176"/>
      <c r="Q4" s="177"/>
      <c r="R4" s="175" t="s">
        <v>259</v>
      </c>
      <c r="S4" s="176"/>
      <c r="T4" s="176"/>
      <c r="U4" s="176"/>
      <c r="V4" s="177"/>
    </row>
    <row r="5" spans="1:22" ht="20.399999999999999" customHeight="1" x14ac:dyDescent="0.3">
      <c r="A5" s="178" t="s">
        <v>60</v>
      </c>
      <c r="B5" s="178" t="s">
        <v>116</v>
      </c>
      <c r="C5" s="202" t="s">
        <v>260</v>
      </c>
      <c r="D5" s="203"/>
      <c r="E5" s="203"/>
      <c r="F5" s="203"/>
      <c r="G5" s="204"/>
      <c r="H5" s="161" t="s">
        <v>261</v>
      </c>
      <c r="I5" s="162"/>
      <c r="J5" s="162"/>
      <c r="K5" s="162"/>
      <c r="L5" s="163"/>
      <c r="M5" s="161" t="s">
        <v>262</v>
      </c>
      <c r="N5" s="162"/>
      <c r="O5" s="162"/>
      <c r="P5" s="162"/>
      <c r="Q5" s="163"/>
      <c r="R5" s="161" t="s">
        <v>263</v>
      </c>
      <c r="S5" s="162"/>
      <c r="T5" s="162"/>
      <c r="U5" s="162"/>
      <c r="V5" s="163"/>
    </row>
    <row r="6" spans="1:22" ht="20.399999999999999" customHeight="1" x14ac:dyDescent="0.3">
      <c r="A6" s="178"/>
      <c r="B6" s="178"/>
      <c r="C6" s="205"/>
      <c r="D6" s="206"/>
      <c r="E6" s="206"/>
      <c r="F6" s="206"/>
      <c r="G6" s="207"/>
      <c r="H6" s="166"/>
      <c r="I6" s="167"/>
      <c r="J6" s="167"/>
      <c r="K6" s="167"/>
      <c r="L6" s="168"/>
      <c r="M6" s="166"/>
      <c r="N6" s="167"/>
      <c r="O6" s="167"/>
      <c r="P6" s="167"/>
      <c r="Q6" s="168"/>
      <c r="R6" s="166"/>
      <c r="S6" s="167"/>
      <c r="T6" s="167"/>
      <c r="U6" s="167"/>
      <c r="V6" s="168"/>
    </row>
    <row r="7" spans="1:22" ht="20.399999999999999" customHeight="1" x14ac:dyDescent="0.3">
      <c r="A7" s="178" t="s">
        <v>65</v>
      </c>
      <c r="B7" s="178" t="s">
        <v>116</v>
      </c>
      <c r="C7" s="202" t="s">
        <v>264</v>
      </c>
      <c r="D7" s="203" t="s">
        <v>265</v>
      </c>
      <c r="E7" s="203"/>
      <c r="F7" s="203"/>
      <c r="G7" s="204"/>
      <c r="H7" s="161" t="s">
        <v>266</v>
      </c>
      <c r="I7" s="162"/>
      <c r="J7" s="162"/>
      <c r="K7" s="162"/>
      <c r="L7" s="163"/>
      <c r="M7" s="161" t="s">
        <v>267</v>
      </c>
      <c r="N7" s="162"/>
      <c r="O7" s="162"/>
      <c r="P7" s="162"/>
      <c r="Q7" s="163"/>
      <c r="R7" s="208" t="s">
        <v>364</v>
      </c>
      <c r="S7" s="162"/>
      <c r="T7" s="162"/>
      <c r="U7" s="162"/>
      <c r="V7" s="163"/>
    </row>
    <row r="8" spans="1:22" ht="20.399999999999999" customHeight="1" x14ac:dyDescent="0.3">
      <c r="A8" s="178"/>
      <c r="B8" s="178"/>
      <c r="C8" s="205"/>
      <c r="D8" s="206"/>
      <c r="E8" s="206"/>
      <c r="F8" s="206"/>
      <c r="G8" s="207"/>
      <c r="H8" s="166"/>
      <c r="I8" s="167"/>
      <c r="J8" s="167"/>
      <c r="K8" s="167"/>
      <c r="L8" s="168"/>
      <c r="M8" s="166"/>
      <c r="N8" s="167"/>
      <c r="O8" s="167"/>
      <c r="P8" s="167"/>
      <c r="Q8" s="168"/>
      <c r="R8" s="166"/>
      <c r="S8" s="167"/>
      <c r="T8" s="167"/>
      <c r="U8" s="167"/>
      <c r="V8" s="168"/>
    </row>
    <row r="9" spans="1:22" ht="20.399999999999999" customHeight="1" x14ac:dyDescent="0.3">
      <c r="A9" s="178" t="s">
        <v>268</v>
      </c>
      <c r="B9" s="178" t="s">
        <v>116</v>
      </c>
      <c r="C9" s="202" t="s">
        <v>269</v>
      </c>
      <c r="D9" s="203"/>
      <c r="E9" s="203"/>
      <c r="F9" s="203"/>
      <c r="G9" s="204"/>
      <c r="H9" s="161" t="s">
        <v>270</v>
      </c>
      <c r="I9" s="162"/>
      <c r="J9" s="162"/>
      <c r="K9" s="162"/>
      <c r="L9" s="163"/>
      <c r="M9" s="161" t="s">
        <v>271</v>
      </c>
      <c r="N9" s="162"/>
      <c r="O9" s="162"/>
      <c r="P9" s="162"/>
      <c r="Q9" s="163"/>
      <c r="R9" s="161" t="s">
        <v>272</v>
      </c>
      <c r="S9" s="162"/>
      <c r="T9" s="162"/>
      <c r="U9" s="162"/>
      <c r="V9" s="163"/>
    </row>
    <row r="10" spans="1:22" ht="20.399999999999999" customHeight="1" x14ac:dyDescent="0.3">
      <c r="A10" s="178"/>
      <c r="B10" s="178"/>
      <c r="C10" s="205"/>
      <c r="D10" s="206"/>
      <c r="E10" s="206"/>
      <c r="F10" s="206"/>
      <c r="G10" s="207"/>
      <c r="H10" s="166"/>
      <c r="I10" s="167"/>
      <c r="J10" s="167"/>
      <c r="K10" s="167"/>
      <c r="L10" s="168"/>
      <c r="M10" s="166"/>
      <c r="N10" s="167"/>
      <c r="O10" s="167"/>
      <c r="P10" s="167"/>
      <c r="Q10" s="168"/>
      <c r="R10" s="166"/>
      <c r="S10" s="167"/>
      <c r="T10" s="167"/>
      <c r="U10" s="167"/>
      <c r="V10" s="168"/>
    </row>
    <row r="11" spans="1:22" ht="20.399999999999999" customHeight="1" x14ac:dyDescent="0.3">
      <c r="A11" s="178" t="s">
        <v>82</v>
      </c>
      <c r="B11" s="178" t="s">
        <v>116</v>
      </c>
      <c r="C11" s="202" t="s">
        <v>348</v>
      </c>
      <c r="D11" s="203"/>
      <c r="E11" s="203"/>
      <c r="F11" s="203"/>
      <c r="G11" s="204"/>
      <c r="H11" s="161" t="s">
        <v>273</v>
      </c>
      <c r="I11" s="162"/>
      <c r="J11" s="162"/>
      <c r="K11" s="162"/>
      <c r="L11" s="163"/>
      <c r="M11" s="161" t="s">
        <v>274</v>
      </c>
      <c r="N11" s="162"/>
      <c r="O11" s="162"/>
      <c r="P11" s="162"/>
      <c r="Q11" s="163"/>
      <c r="R11" s="161" t="s">
        <v>349</v>
      </c>
      <c r="S11" s="162"/>
      <c r="T11" s="162"/>
      <c r="U11" s="162"/>
      <c r="V11" s="163"/>
    </row>
    <row r="12" spans="1:22" ht="20.399999999999999" customHeight="1" x14ac:dyDescent="0.3">
      <c r="A12" s="178"/>
      <c r="B12" s="178"/>
      <c r="C12" s="205"/>
      <c r="D12" s="206"/>
      <c r="E12" s="206"/>
      <c r="F12" s="206"/>
      <c r="G12" s="207"/>
      <c r="H12" s="166"/>
      <c r="I12" s="167"/>
      <c r="J12" s="167"/>
      <c r="K12" s="167"/>
      <c r="L12" s="168"/>
      <c r="M12" s="166"/>
      <c r="N12" s="167"/>
      <c r="O12" s="167"/>
      <c r="P12" s="167"/>
      <c r="Q12" s="168"/>
      <c r="R12" s="166"/>
      <c r="S12" s="167"/>
      <c r="T12" s="167"/>
      <c r="U12" s="167"/>
      <c r="V12" s="168"/>
    </row>
    <row r="13" spans="1:22" ht="20.399999999999999" customHeight="1" x14ac:dyDescent="0.3">
      <c r="A13" s="198" t="s">
        <v>275</v>
      </c>
      <c r="B13" s="198"/>
      <c r="C13" s="198"/>
      <c r="D13" s="198"/>
      <c r="E13" s="198"/>
      <c r="F13" s="198"/>
      <c r="G13" s="198"/>
      <c r="H13" s="198" t="s">
        <v>276</v>
      </c>
      <c r="I13" s="198"/>
      <c r="J13" s="198"/>
      <c r="K13" s="198"/>
      <c r="L13" s="198"/>
      <c r="M13" s="198"/>
      <c r="N13" s="198"/>
      <c r="O13" s="198" t="s">
        <v>276</v>
      </c>
      <c r="P13" s="198"/>
      <c r="Q13" s="198"/>
      <c r="R13" s="198"/>
      <c r="S13" s="198"/>
      <c r="T13" s="198"/>
      <c r="U13" s="198"/>
    </row>
    <row r="14" spans="1:22" ht="20.399999999999999" customHeight="1" x14ac:dyDescent="0.3">
      <c r="A14" s="198"/>
      <c r="B14" s="198"/>
      <c r="C14" s="198"/>
      <c r="D14" s="198"/>
      <c r="E14" s="198"/>
      <c r="F14" s="198"/>
      <c r="G14" s="198"/>
      <c r="H14" s="198"/>
      <c r="I14" s="198"/>
      <c r="J14" s="198"/>
      <c r="K14" s="198"/>
      <c r="L14" s="198"/>
      <c r="M14" s="198"/>
      <c r="N14" s="198"/>
      <c r="O14" s="198"/>
      <c r="P14" s="198"/>
      <c r="Q14" s="198"/>
      <c r="R14" s="198"/>
      <c r="S14" s="198"/>
      <c r="T14" s="198"/>
      <c r="U14" s="198"/>
    </row>
    <row r="15" spans="1:22" ht="20.399999999999999" customHeight="1" x14ac:dyDescent="0.3">
      <c r="A15" s="1" t="s">
        <v>157</v>
      </c>
      <c r="B15" s="1" t="s">
        <v>158</v>
      </c>
      <c r="C15" s="1" t="s">
        <v>277</v>
      </c>
      <c r="D15" s="171" t="s">
        <v>278</v>
      </c>
      <c r="E15" s="171"/>
      <c r="F15" s="171"/>
      <c r="G15" s="171"/>
      <c r="H15" s="1" t="s">
        <v>157</v>
      </c>
      <c r="I15" s="1" t="s">
        <v>158</v>
      </c>
      <c r="J15" s="1" t="s">
        <v>277</v>
      </c>
      <c r="K15" s="171" t="s">
        <v>278</v>
      </c>
      <c r="L15" s="171"/>
      <c r="M15" s="171"/>
      <c r="N15" s="171"/>
      <c r="O15" s="1" t="s">
        <v>157</v>
      </c>
      <c r="P15" s="1" t="s">
        <v>158</v>
      </c>
      <c r="Q15" s="1" t="s">
        <v>277</v>
      </c>
      <c r="R15" s="171" t="s">
        <v>278</v>
      </c>
      <c r="S15" s="171"/>
      <c r="T15" s="171"/>
      <c r="U15" s="171"/>
    </row>
    <row r="16" spans="1:22" ht="20.399999999999999" customHeight="1" x14ac:dyDescent="0.3">
      <c r="A16" s="178" t="s">
        <v>279</v>
      </c>
      <c r="B16" s="178" t="s">
        <v>280</v>
      </c>
      <c r="C16" s="178">
        <v>10</v>
      </c>
      <c r="D16" s="158" t="s">
        <v>281</v>
      </c>
      <c r="E16" s="158"/>
      <c r="F16" s="158"/>
      <c r="G16" s="158"/>
      <c r="H16" s="178"/>
      <c r="I16" s="178"/>
      <c r="J16" s="178"/>
      <c r="K16" s="158"/>
      <c r="L16" s="158"/>
      <c r="M16" s="158"/>
      <c r="N16" s="158"/>
      <c r="O16" s="178"/>
      <c r="P16" s="178"/>
      <c r="Q16" s="178"/>
      <c r="R16" s="158"/>
      <c r="S16" s="158"/>
      <c r="T16" s="158"/>
      <c r="U16" s="158"/>
    </row>
    <row r="17" spans="1:21" ht="20.399999999999999" customHeight="1" x14ac:dyDescent="0.3">
      <c r="A17" s="178"/>
      <c r="B17" s="178"/>
      <c r="C17" s="178"/>
      <c r="D17" s="158"/>
      <c r="E17" s="158"/>
      <c r="F17" s="158"/>
      <c r="G17" s="158"/>
      <c r="H17" s="178"/>
      <c r="I17" s="178"/>
      <c r="J17" s="178"/>
      <c r="K17" s="158"/>
      <c r="L17" s="158"/>
      <c r="M17" s="158"/>
      <c r="N17" s="158"/>
      <c r="O17" s="178"/>
      <c r="P17" s="178"/>
      <c r="Q17" s="178"/>
      <c r="R17" s="158"/>
      <c r="S17" s="158"/>
      <c r="T17" s="158"/>
      <c r="U17" s="158"/>
    </row>
    <row r="18" spans="1:21" ht="20.399999999999999" customHeight="1" x14ac:dyDescent="0.3">
      <c r="A18" s="178" t="s">
        <v>282</v>
      </c>
      <c r="B18" s="178" t="s">
        <v>283</v>
      </c>
      <c r="C18" s="178">
        <v>0</v>
      </c>
      <c r="D18" s="158" t="s">
        <v>265</v>
      </c>
      <c r="E18" s="158"/>
      <c r="F18" s="158"/>
      <c r="G18" s="158"/>
      <c r="H18" s="178"/>
      <c r="I18" s="178"/>
      <c r="J18" s="178"/>
      <c r="K18" s="158"/>
      <c r="L18" s="158"/>
      <c r="M18" s="158"/>
      <c r="N18" s="158"/>
      <c r="O18" s="178"/>
      <c r="P18" s="178"/>
      <c r="Q18" s="178"/>
      <c r="R18" s="158"/>
      <c r="S18" s="158"/>
      <c r="T18" s="158"/>
      <c r="U18" s="158"/>
    </row>
    <row r="19" spans="1:21" ht="20.399999999999999" customHeight="1" x14ac:dyDescent="0.3">
      <c r="A19" s="178"/>
      <c r="B19" s="178"/>
      <c r="C19" s="178"/>
      <c r="D19" s="158"/>
      <c r="E19" s="158"/>
      <c r="F19" s="158"/>
      <c r="G19" s="158"/>
      <c r="H19" s="178"/>
      <c r="I19" s="178"/>
      <c r="J19" s="178"/>
      <c r="K19" s="158"/>
      <c r="L19" s="158"/>
      <c r="M19" s="158"/>
      <c r="N19" s="158"/>
      <c r="O19" s="178"/>
      <c r="P19" s="178"/>
      <c r="Q19" s="178"/>
      <c r="R19" s="158"/>
      <c r="S19" s="158"/>
      <c r="T19" s="158"/>
      <c r="U19" s="158"/>
    </row>
    <row r="20" spans="1:21" ht="20.399999999999999" customHeight="1" x14ac:dyDescent="0.3">
      <c r="A20" s="178"/>
      <c r="B20" s="178"/>
      <c r="C20" s="178"/>
      <c r="D20" s="158"/>
      <c r="E20" s="158"/>
      <c r="F20" s="158"/>
      <c r="G20" s="158"/>
      <c r="H20" s="178"/>
      <c r="I20" s="178"/>
      <c r="J20" s="178"/>
      <c r="K20" s="158"/>
      <c r="L20" s="158"/>
      <c r="M20" s="158"/>
      <c r="N20" s="158"/>
      <c r="O20" s="178"/>
      <c r="P20" s="178"/>
      <c r="Q20" s="178"/>
      <c r="R20" s="158"/>
      <c r="S20" s="158"/>
      <c r="T20" s="158"/>
      <c r="U20" s="158"/>
    </row>
    <row r="21" spans="1:21" ht="20.399999999999999" customHeight="1" x14ac:dyDescent="0.3">
      <c r="A21" s="178"/>
      <c r="B21" s="178"/>
      <c r="C21" s="178"/>
      <c r="D21" s="158"/>
      <c r="E21" s="158"/>
      <c r="F21" s="158"/>
      <c r="G21" s="158"/>
      <c r="H21" s="178"/>
      <c r="I21" s="178"/>
      <c r="J21" s="178"/>
      <c r="K21" s="158"/>
      <c r="L21" s="158"/>
      <c r="M21" s="158"/>
      <c r="N21" s="158"/>
      <c r="O21" s="178"/>
      <c r="P21" s="178"/>
      <c r="Q21" s="178"/>
      <c r="R21" s="158"/>
      <c r="S21" s="158"/>
      <c r="T21" s="158"/>
      <c r="U21" s="158"/>
    </row>
    <row r="22" spans="1:21" ht="20.399999999999999" customHeight="1" x14ac:dyDescent="0.3">
      <c r="A22" s="178"/>
      <c r="B22" s="178"/>
      <c r="C22" s="178"/>
      <c r="D22" s="158"/>
      <c r="E22" s="158"/>
      <c r="F22" s="158"/>
      <c r="G22" s="158"/>
      <c r="H22" s="178"/>
      <c r="I22" s="178"/>
      <c r="J22" s="178"/>
      <c r="K22" s="158"/>
      <c r="L22" s="158"/>
      <c r="M22" s="158"/>
      <c r="N22" s="158"/>
      <c r="O22" s="178"/>
      <c r="P22" s="178"/>
      <c r="Q22" s="178"/>
      <c r="R22" s="158"/>
      <c r="S22" s="158"/>
      <c r="T22" s="158"/>
      <c r="U22" s="158"/>
    </row>
    <row r="23" spans="1:21" ht="20.399999999999999" customHeight="1" x14ac:dyDescent="0.3">
      <c r="A23" s="178"/>
      <c r="B23" s="178"/>
      <c r="C23" s="178"/>
      <c r="D23" s="158"/>
      <c r="E23" s="158"/>
      <c r="F23" s="158"/>
      <c r="G23" s="158"/>
      <c r="H23" s="178"/>
      <c r="I23" s="178"/>
      <c r="J23" s="178"/>
      <c r="K23" s="158"/>
      <c r="L23" s="158"/>
      <c r="M23" s="158"/>
      <c r="N23" s="158"/>
      <c r="O23" s="178"/>
      <c r="P23" s="178"/>
      <c r="Q23" s="178"/>
      <c r="R23" s="158"/>
      <c r="S23" s="158"/>
      <c r="T23" s="158"/>
      <c r="U23" s="158"/>
    </row>
    <row r="24" spans="1:21" ht="20.399999999999999" customHeight="1" x14ac:dyDescent="0.3">
      <c r="A24" s="178"/>
      <c r="B24" s="178"/>
      <c r="C24" s="178"/>
      <c r="D24" s="158"/>
      <c r="E24" s="158"/>
      <c r="F24" s="158"/>
      <c r="G24" s="158"/>
      <c r="H24" s="178"/>
      <c r="I24" s="178"/>
      <c r="J24" s="178"/>
      <c r="K24" s="158"/>
      <c r="L24" s="158"/>
      <c r="M24" s="158"/>
      <c r="N24" s="158"/>
      <c r="O24" s="178"/>
      <c r="P24" s="178"/>
      <c r="Q24" s="178"/>
      <c r="R24" s="158"/>
      <c r="S24" s="158"/>
      <c r="T24" s="158"/>
      <c r="U24" s="158"/>
    </row>
    <row r="25" spans="1:21" ht="20.399999999999999" customHeight="1" x14ac:dyDescent="0.3">
      <c r="A25" s="178"/>
      <c r="B25" s="178"/>
      <c r="C25" s="178"/>
      <c r="D25" s="158"/>
      <c r="E25" s="158"/>
      <c r="F25" s="158"/>
      <c r="G25" s="158"/>
      <c r="H25" s="178"/>
      <c r="I25" s="178"/>
      <c r="J25" s="178"/>
      <c r="K25" s="158"/>
      <c r="L25" s="158"/>
      <c r="M25" s="158"/>
      <c r="N25" s="158"/>
      <c r="O25" s="178"/>
      <c r="P25" s="178"/>
      <c r="Q25" s="178"/>
      <c r="R25" s="158"/>
      <c r="S25" s="158"/>
      <c r="T25" s="158"/>
      <c r="U25" s="158"/>
    </row>
    <row r="26" spans="1:21" ht="20.399999999999999" customHeight="1" x14ac:dyDescent="0.3">
      <c r="A26" s="178"/>
      <c r="B26" s="178"/>
      <c r="C26" s="178"/>
      <c r="D26" s="158"/>
      <c r="E26" s="158"/>
      <c r="F26" s="158"/>
      <c r="G26" s="158"/>
      <c r="H26" s="178"/>
      <c r="I26" s="178"/>
      <c r="J26" s="178"/>
      <c r="K26" s="158"/>
      <c r="L26" s="158"/>
      <c r="M26" s="158"/>
      <c r="N26" s="158"/>
      <c r="O26" s="178"/>
      <c r="P26" s="178"/>
      <c r="Q26" s="178"/>
      <c r="R26" s="158"/>
      <c r="S26" s="158"/>
      <c r="T26" s="158"/>
      <c r="U26" s="158"/>
    </row>
    <row r="27" spans="1:21" ht="20.399999999999999" customHeight="1" x14ac:dyDescent="0.3">
      <c r="A27" s="178"/>
      <c r="B27" s="178"/>
      <c r="C27" s="178"/>
      <c r="D27" s="158"/>
      <c r="E27" s="158"/>
      <c r="F27" s="158"/>
      <c r="G27" s="158"/>
      <c r="H27" s="178"/>
      <c r="I27" s="178"/>
      <c r="J27" s="178"/>
      <c r="K27" s="158"/>
      <c r="L27" s="158"/>
      <c r="M27" s="158"/>
      <c r="N27" s="158"/>
      <c r="O27" s="178"/>
      <c r="P27" s="178"/>
      <c r="Q27" s="178"/>
      <c r="R27" s="158"/>
      <c r="S27" s="158"/>
      <c r="T27" s="158"/>
      <c r="U27" s="158"/>
    </row>
  </sheetData>
  <mergeCells count="109">
    <mergeCell ref="A3:B3"/>
    <mergeCell ref="C3:G3"/>
    <mergeCell ref="C4:G4"/>
    <mergeCell ref="H4:L4"/>
    <mergeCell ref="M4:Q4"/>
    <mergeCell ref="R4:V4"/>
    <mergeCell ref="D15:G15"/>
    <mergeCell ref="K15:N15"/>
    <mergeCell ref="R15:U15"/>
    <mergeCell ref="A5:A6"/>
    <mergeCell ref="A7:A8"/>
    <mergeCell ref="A9:A10"/>
    <mergeCell ref="A11:A12"/>
    <mergeCell ref="R11:V12"/>
    <mergeCell ref="C9:G10"/>
    <mergeCell ref="H9:L10"/>
    <mergeCell ref="M9:Q10"/>
    <mergeCell ref="R9:V10"/>
    <mergeCell ref="C5:G6"/>
    <mergeCell ref="H5:L6"/>
    <mergeCell ref="M5:Q6"/>
    <mergeCell ref="R5:V6"/>
    <mergeCell ref="C11:G12"/>
    <mergeCell ref="H11:L12"/>
    <mergeCell ref="A16:A17"/>
    <mergeCell ref="A18:A19"/>
    <mergeCell ref="A20:A21"/>
    <mergeCell ref="A22:A23"/>
    <mergeCell ref="A24:A25"/>
    <mergeCell ref="A26:A27"/>
    <mergeCell ref="B5:B6"/>
    <mergeCell ref="B7:B8"/>
    <mergeCell ref="B9:B10"/>
    <mergeCell ref="B11:B12"/>
    <mergeCell ref="B16:B17"/>
    <mergeCell ref="B18:B19"/>
    <mergeCell ref="B20:B21"/>
    <mergeCell ref="B22:B23"/>
    <mergeCell ref="B24:B25"/>
    <mergeCell ref="B26:B27"/>
    <mergeCell ref="C16:C17"/>
    <mergeCell ref="C18:C19"/>
    <mergeCell ref="C20:C21"/>
    <mergeCell ref="C22:C23"/>
    <mergeCell ref="C24:C25"/>
    <mergeCell ref="C26:C27"/>
    <mergeCell ref="H16:H17"/>
    <mergeCell ref="H18:H19"/>
    <mergeCell ref="H20:H21"/>
    <mergeCell ref="H22:H23"/>
    <mergeCell ref="H24:H25"/>
    <mergeCell ref="H26:H27"/>
    <mergeCell ref="I22:I23"/>
    <mergeCell ref="I24:I25"/>
    <mergeCell ref="I26:I27"/>
    <mergeCell ref="J16:J17"/>
    <mergeCell ref="J18:J19"/>
    <mergeCell ref="J20:J21"/>
    <mergeCell ref="J22:J23"/>
    <mergeCell ref="J24:J25"/>
    <mergeCell ref="J26:J27"/>
    <mergeCell ref="M11:Q12"/>
    <mergeCell ref="D24:G25"/>
    <mergeCell ref="D26:G27"/>
    <mergeCell ref="D20:G21"/>
    <mergeCell ref="D22:G23"/>
    <mergeCell ref="D16:G17"/>
    <mergeCell ref="D18:G19"/>
    <mergeCell ref="K16:N17"/>
    <mergeCell ref="K26:N27"/>
    <mergeCell ref="O16:O17"/>
    <mergeCell ref="O18:O19"/>
    <mergeCell ref="O20:O21"/>
    <mergeCell ref="O22:O23"/>
    <mergeCell ref="O24:O25"/>
    <mergeCell ref="O26:O27"/>
    <mergeCell ref="P16:P17"/>
    <mergeCell ref="P18:P19"/>
    <mergeCell ref="P20:P21"/>
    <mergeCell ref="P22:P23"/>
    <mergeCell ref="P24:P25"/>
    <mergeCell ref="P26:P27"/>
    <mergeCell ref="I16:I17"/>
    <mergeCell ref="I18:I19"/>
    <mergeCell ref="I20:I21"/>
    <mergeCell ref="A1:G2"/>
    <mergeCell ref="C7:G8"/>
    <mergeCell ref="H7:L8"/>
    <mergeCell ref="M7:Q8"/>
    <mergeCell ref="R7:V8"/>
    <mergeCell ref="A13:G14"/>
    <mergeCell ref="H13:N14"/>
    <mergeCell ref="O13:U14"/>
    <mergeCell ref="R26:U27"/>
    <mergeCell ref="R16:U17"/>
    <mergeCell ref="K18:N19"/>
    <mergeCell ref="R18:U19"/>
    <mergeCell ref="K20:N21"/>
    <mergeCell ref="R20:U21"/>
    <mergeCell ref="K22:N23"/>
    <mergeCell ref="R22:U23"/>
    <mergeCell ref="K24:N25"/>
    <mergeCell ref="R24:U25"/>
    <mergeCell ref="Q16:Q17"/>
    <mergeCell ref="Q18:Q19"/>
    <mergeCell ref="Q20:Q21"/>
    <mergeCell ref="Q22:Q23"/>
    <mergeCell ref="Q24:Q25"/>
    <mergeCell ref="Q26:Q27"/>
  </mergeCells>
  <phoneticPr fontId="47" type="noConversion"/>
  <conditionalFormatting sqref="H5:L6">
    <cfRule type="expression" dxfId="23" priority="12">
      <formula>NOT($B$5="原始")</formula>
    </cfRule>
  </conditionalFormatting>
  <conditionalFormatting sqref="H7:L8">
    <cfRule type="expression" dxfId="22" priority="10">
      <formula>NOT($B$7="原始")</formula>
    </cfRule>
  </conditionalFormatting>
  <conditionalFormatting sqref="H9:L10">
    <cfRule type="expression" dxfId="21" priority="9">
      <formula>NOT($B$9="原始")</formula>
    </cfRule>
  </conditionalFormatting>
  <conditionalFormatting sqref="H11:L12">
    <cfRule type="expression" dxfId="20" priority="8">
      <formula>NOT($B$11="原始")</formula>
    </cfRule>
  </conditionalFormatting>
  <conditionalFormatting sqref="M5:Q6">
    <cfRule type="expression" dxfId="19" priority="11">
      <formula>AND(NOT($B$5="原始"),NOT($B$5="初级"))</formula>
    </cfRule>
  </conditionalFormatting>
  <conditionalFormatting sqref="M7:Q8">
    <cfRule type="expression" dxfId="18" priority="3">
      <formula>AND(NOT($B$7="原始"),NOT($B$7="初级"))</formula>
    </cfRule>
  </conditionalFormatting>
  <conditionalFormatting sqref="M9:Q10">
    <cfRule type="expression" dxfId="17" priority="2">
      <formula>AND(NOT($B$9="原始"),NOT($B$9="初级"))</formula>
    </cfRule>
  </conditionalFormatting>
  <conditionalFormatting sqref="M11:Q12">
    <cfRule type="expression" dxfId="16" priority="1">
      <formula>AND(NOT($B$11="原始"),NOT($B$11="初级"))</formula>
    </cfRule>
  </conditionalFormatting>
  <conditionalFormatting sqref="R5:V6">
    <cfRule type="expression" dxfId="15" priority="4">
      <formula>($B$5="上级")</formula>
    </cfRule>
  </conditionalFormatting>
  <conditionalFormatting sqref="R7:V8">
    <cfRule type="expression" dxfId="14" priority="5">
      <formula>($B$7="上级")</formula>
    </cfRule>
  </conditionalFormatting>
  <conditionalFormatting sqref="R9:V10">
    <cfRule type="expression" dxfId="13" priority="6">
      <formula>($B$9="上级")</formula>
    </cfRule>
  </conditionalFormatting>
  <conditionalFormatting sqref="R11:V12">
    <cfRule type="expression" dxfId="12" priority="7">
      <formula>($B$11="上级")</formula>
    </cfRule>
  </conditionalFormatting>
  <pageMargins left="0.7" right="0.7" top="0.75" bottom="0.75" header="0.3" footer="0.3"/>
  <pageSetup paperSize="9" orientation="portrait"/>
  <legacy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800-000000000000}">
          <x14:formula1>
            <xm:f>总表!$A$36:$A$39</xm:f>
          </x14:formula1>
          <xm:sqref>B5:B12 X13:X20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13</vt:i4>
      </vt:variant>
    </vt:vector>
  </HeadingPairs>
  <TitlesOfParts>
    <vt:vector size="13" baseType="lpstr">
      <vt:lpstr>图表</vt:lpstr>
      <vt:lpstr>总表</vt:lpstr>
      <vt:lpstr>经历点数与履历</vt:lpstr>
      <vt:lpstr>角色简介与天命</vt:lpstr>
      <vt:lpstr>角色专属技能</vt:lpstr>
      <vt:lpstr>武器</vt:lpstr>
      <vt:lpstr>防具</vt:lpstr>
      <vt:lpstr>各种技能</vt:lpstr>
      <vt:lpstr>被动战技与战术</vt:lpstr>
      <vt:lpstr>特殊战技与姿态战术</vt:lpstr>
      <vt:lpstr>魔法</vt:lpstr>
      <vt:lpstr>社群与职业</vt:lpstr>
      <vt:lpstr>坐骑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KEN JIANG</dc:creator>
  <cp:lastModifiedBy>657969373@qq.com</cp:lastModifiedBy>
  <dcterms:created xsi:type="dcterms:W3CDTF">2015-06-05T18:19:00Z</dcterms:created>
  <dcterms:modified xsi:type="dcterms:W3CDTF">2025-08-21T08:36:54Z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25415400-2363-4432-a0f9-d956003a3e14</vt:lpwstr>
  </property>
  <property fmtid="{D5CDD505-2E9C-101B-9397-08002B2CF9AE}" pid="3" name="KSOProductBuildVer">
    <vt:lpwstr>2052-10.8.2.7090</vt:lpwstr>
  </property>
</Properties>
</file>